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6"/>
  <workbookPr defaultThemeVersion="166925"/>
  <mc:AlternateContent xmlns:mc="http://schemas.openxmlformats.org/markup-compatibility/2006">
    <mc:Choice Requires="x15">
      <x15ac:absPath xmlns:x15ac="http://schemas.microsoft.com/office/spreadsheetml/2010/11/ac" url="C:\Users\Hanka\OneDrive\Dokumenty\Zahradníčková\Brno Moravské nam\MOR rozpočet realizace 26062021\"/>
    </mc:Choice>
  </mc:AlternateContent>
  <xr:revisionPtr revIDLastSave="2" documentId="8_{B5138698-C1B0-486D-B222-15FDFD44B2ED}" xr6:coauthVersionLast="36" xr6:coauthVersionMax="36" xr10:uidLastSave="{92553787-A3A6-40AC-BEE9-6116BD1EA998}"/>
  <bookViews>
    <workbookView xWindow="0" yWindow="0" windowWidth="28800" windowHeight="13485" activeTab="1" xr2:uid="{00000000-000D-0000-FFFF-FFFF00000000}"/>
  </bookViews>
  <sheets>
    <sheet name=" MN realizační rozpočet" sheetId="1" r:id="rId1"/>
    <sheet name="Substráty" sheetId="2" r:id="rId2"/>
    <sheet name="RM VV" sheetId="3" r:id="rId3"/>
  </sheets>
  <calcPr calcId="191029"/>
</workbook>
</file>

<file path=xl/calcChain.xml><?xml version="1.0" encoding="utf-8"?>
<calcChain xmlns="http://schemas.openxmlformats.org/spreadsheetml/2006/main">
  <c r="G783" i="1" l="1"/>
  <c r="F783" i="1"/>
  <c r="F782" i="1"/>
  <c r="G782" i="1" s="1"/>
  <c r="F779" i="1"/>
  <c r="H779" i="1" s="1"/>
  <c r="F781" i="1" l="1"/>
  <c r="H781" i="1" s="1"/>
  <c r="G776" i="1" l="1"/>
  <c r="H776" i="1"/>
  <c r="D121" i="3" l="1"/>
  <c r="A840" i="1" l="1"/>
  <c r="B840" i="1"/>
  <c r="B839" i="1"/>
  <c r="C839" i="1"/>
  <c r="C840" i="1"/>
  <c r="C827" i="1"/>
  <c r="C828" i="1"/>
  <c r="B868" i="1"/>
  <c r="C868" i="1"/>
  <c r="C875" i="1"/>
  <c r="D875" i="1"/>
  <c r="F875" i="1"/>
  <c r="B875" i="1"/>
  <c r="G818" i="1"/>
  <c r="G875" i="1" s="1"/>
  <c r="F819" i="1"/>
  <c r="H819" i="1" s="1"/>
  <c r="H818" i="1" s="1"/>
  <c r="I818" i="1" s="1"/>
  <c r="I875" i="1" s="1"/>
  <c r="F814" i="1"/>
  <c r="H875" i="1" l="1"/>
  <c r="E818" i="1"/>
  <c r="E875" i="1" s="1"/>
  <c r="J818" i="1"/>
  <c r="F495" i="1"/>
  <c r="C121" i="3"/>
  <c r="F464" i="1" s="1"/>
  <c r="F477" i="1" s="1"/>
  <c r="F478" i="1" s="1"/>
  <c r="B121" i="3"/>
  <c r="F463" i="1" s="1"/>
  <c r="C111" i="3"/>
  <c r="F461" i="1" s="1"/>
  <c r="F468" i="1" s="1"/>
  <c r="F469" i="1" s="1"/>
  <c r="H469" i="1" s="1"/>
  <c r="B111" i="3"/>
  <c r="F460" i="1" s="1"/>
  <c r="G460" i="1" s="1"/>
  <c r="C80" i="3"/>
  <c r="F381" i="1" s="1"/>
  <c r="F416" i="1" s="1"/>
  <c r="F417" i="1" s="1"/>
  <c r="B80" i="3"/>
  <c r="F380" i="1" s="1"/>
  <c r="F414" i="1" s="1"/>
  <c r="F415" i="1" s="1"/>
  <c r="H415" i="1" s="1"/>
  <c r="B67" i="3"/>
  <c r="C64" i="3"/>
  <c r="D64" i="3" s="1"/>
  <c r="F376" i="1" s="1"/>
  <c r="F409" i="1" s="1"/>
  <c r="F410" i="1" s="1"/>
  <c r="H410" i="1" s="1"/>
  <c r="B64" i="3"/>
  <c r="F377" i="1" s="1"/>
  <c r="J377" i="1" s="1"/>
  <c r="Y19" i="2"/>
  <c r="W19" i="2"/>
  <c r="U19" i="2"/>
  <c r="S19" i="2"/>
  <c r="Q19" i="2"/>
  <c r="O19" i="2"/>
  <c r="M19" i="2"/>
  <c r="K19" i="2"/>
  <c r="I19" i="2"/>
  <c r="G19" i="2"/>
  <c r="E19" i="2"/>
  <c r="C19" i="2"/>
  <c r="Y18" i="2"/>
  <c r="W18" i="2"/>
  <c r="U18" i="2"/>
  <c r="Q18" i="2"/>
  <c r="O18" i="2"/>
  <c r="M18" i="2"/>
  <c r="K18" i="2"/>
  <c r="I18" i="2"/>
  <c r="G18" i="2"/>
  <c r="E18" i="2"/>
  <c r="C18" i="2"/>
  <c r="Y17" i="2"/>
  <c r="W17" i="2"/>
  <c r="U17" i="2"/>
  <c r="Q17" i="2"/>
  <c r="O17" i="2"/>
  <c r="M17" i="2"/>
  <c r="K17" i="2"/>
  <c r="I17" i="2"/>
  <c r="G17" i="2"/>
  <c r="E17" i="2"/>
  <c r="C17" i="2"/>
  <c r="Y16" i="2"/>
  <c r="W16" i="2"/>
  <c r="U16" i="2"/>
  <c r="Q16" i="2"/>
  <c r="O16" i="2"/>
  <c r="M16" i="2"/>
  <c r="K16" i="2"/>
  <c r="I16" i="2"/>
  <c r="G16" i="2"/>
  <c r="E16" i="2"/>
  <c r="C16" i="2"/>
  <c r="Y15" i="2"/>
  <c r="W15" i="2"/>
  <c r="U15" i="2"/>
  <c r="S15" i="2"/>
  <c r="Q15" i="2"/>
  <c r="O15" i="2"/>
  <c r="M15" i="2"/>
  <c r="K15" i="2"/>
  <c r="I15" i="2"/>
  <c r="G15" i="2"/>
  <c r="E15" i="2"/>
  <c r="C15" i="2"/>
  <c r="Y14" i="2"/>
  <c r="W14" i="2"/>
  <c r="Q14" i="2"/>
  <c r="O14" i="2"/>
  <c r="M14" i="2"/>
  <c r="K14" i="2"/>
  <c r="I14" i="2"/>
  <c r="G14" i="2"/>
  <c r="E14" i="2"/>
  <c r="C14" i="2"/>
  <c r="K13" i="2"/>
  <c r="G13" i="2"/>
  <c r="E13" i="2"/>
  <c r="Y12" i="2"/>
  <c r="W12" i="2"/>
  <c r="Q12" i="2"/>
  <c r="O12" i="2"/>
  <c r="M12" i="2"/>
  <c r="K12" i="2"/>
  <c r="I12" i="2"/>
  <c r="G12" i="2"/>
  <c r="E12" i="2"/>
  <c r="C12" i="2"/>
  <c r="Y11" i="2"/>
  <c r="W11" i="2"/>
  <c r="U11" i="2"/>
  <c r="Q11" i="2"/>
  <c r="O11" i="2"/>
  <c r="M11" i="2"/>
  <c r="K11" i="2"/>
  <c r="I11" i="2"/>
  <c r="G11" i="2"/>
  <c r="E11" i="2"/>
  <c r="C11" i="2"/>
  <c r="Y10" i="2"/>
  <c r="W10" i="2"/>
  <c r="Q10" i="2"/>
  <c r="O10" i="2"/>
  <c r="M10" i="2"/>
  <c r="K10" i="2"/>
  <c r="I10" i="2"/>
  <c r="G10" i="2"/>
  <c r="E10" i="2"/>
  <c r="C10" i="2"/>
  <c r="Y9" i="2"/>
  <c r="W9" i="2"/>
  <c r="S9" i="2"/>
  <c r="Q9" i="2"/>
  <c r="O9" i="2"/>
  <c r="M9" i="2"/>
  <c r="K9" i="2"/>
  <c r="I9" i="2"/>
  <c r="G9" i="2"/>
  <c r="E9" i="2"/>
  <c r="C9" i="2"/>
  <c r="O8" i="2"/>
  <c r="K8" i="2"/>
  <c r="I8" i="2"/>
  <c r="G8" i="2"/>
  <c r="E8" i="2"/>
  <c r="C8" i="2"/>
  <c r="Y7" i="2"/>
  <c r="W7" i="2"/>
  <c r="Q7" i="2"/>
  <c r="O7" i="2"/>
  <c r="M7" i="2"/>
  <c r="K7" i="2"/>
  <c r="I7" i="2"/>
  <c r="G7" i="2"/>
  <c r="E7" i="2"/>
  <c r="C7" i="2"/>
  <c r="Y6" i="2"/>
  <c r="W6" i="2"/>
  <c r="Q6" i="2"/>
  <c r="O6" i="2"/>
  <c r="M6" i="2"/>
  <c r="K6" i="2"/>
  <c r="I6" i="2"/>
  <c r="G6" i="2"/>
  <c r="E6" i="2"/>
  <c r="C6" i="2"/>
  <c r="Y5" i="2"/>
  <c r="W5" i="2"/>
  <c r="Q5" i="2"/>
  <c r="O5" i="2"/>
  <c r="M5" i="2"/>
  <c r="K5" i="2"/>
  <c r="I5" i="2"/>
  <c r="G5" i="2"/>
  <c r="E5" i="2"/>
  <c r="C5" i="2"/>
  <c r="F874" i="1"/>
  <c r="D874" i="1"/>
  <c r="C874" i="1"/>
  <c r="B874" i="1"/>
  <c r="A874" i="1"/>
  <c r="F870" i="1"/>
  <c r="D870" i="1"/>
  <c r="C870" i="1"/>
  <c r="B870" i="1"/>
  <c r="A870" i="1"/>
  <c r="F869" i="1"/>
  <c r="D869" i="1"/>
  <c r="C869" i="1"/>
  <c r="B869" i="1"/>
  <c r="D873" i="1"/>
  <c r="C873" i="1"/>
  <c r="B873" i="1"/>
  <c r="F872" i="1"/>
  <c r="D872" i="1"/>
  <c r="C872" i="1"/>
  <c r="B872" i="1"/>
  <c r="D871" i="1"/>
  <c r="C871" i="1"/>
  <c r="B871" i="1"/>
  <c r="D866" i="1"/>
  <c r="C866" i="1"/>
  <c r="B866" i="1"/>
  <c r="D865" i="1"/>
  <c r="C865" i="1"/>
  <c r="B865" i="1"/>
  <c r="C864" i="1"/>
  <c r="B864" i="1"/>
  <c r="D862" i="1"/>
  <c r="C862" i="1"/>
  <c r="B862" i="1"/>
  <c r="A862" i="1"/>
  <c r="D861" i="1"/>
  <c r="C861" i="1"/>
  <c r="B861" i="1"/>
  <c r="F860" i="1"/>
  <c r="D860" i="1"/>
  <c r="C860" i="1"/>
  <c r="B860" i="1"/>
  <c r="F859" i="1"/>
  <c r="D859" i="1"/>
  <c r="C859" i="1"/>
  <c r="B859" i="1"/>
  <c r="F858" i="1"/>
  <c r="D858" i="1"/>
  <c r="C858" i="1"/>
  <c r="B858" i="1"/>
  <c r="C857" i="1"/>
  <c r="B857" i="1"/>
  <c r="F855" i="1"/>
  <c r="D855" i="1"/>
  <c r="C855" i="1"/>
  <c r="B855" i="1"/>
  <c r="F854" i="1"/>
  <c r="D854" i="1"/>
  <c r="C854" i="1"/>
  <c r="B854" i="1"/>
  <c r="F853" i="1"/>
  <c r="D853" i="1"/>
  <c r="C853" i="1"/>
  <c r="B853" i="1"/>
  <c r="F852" i="1"/>
  <c r="D852" i="1"/>
  <c r="C852" i="1"/>
  <c r="B852" i="1"/>
  <c r="C851" i="1"/>
  <c r="B851" i="1"/>
  <c r="D848" i="1"/>
  <c r="C848" i="1"/>
  <c r="B848" i="1"/>
  <c r="D847" i="1"/>
  <c r="C847" i="1"/>
  <c r="B847" i="1"/>
  <c r="C846" i="1"/>
  <c r="B846" i="1"/>
  <c r="D844" i="1"/>
  <c r="C844" i="1"/>
  <c r="B844" i="1"/>
  <c r="D843" i="1"/>
  <c r="C843" i="1"/>
  <c r="B843" i="1"/>
  <c r="D842" i="1"/>
  <c r="C842" i="1"/>
  <c r="B842" i="1"/>
  <c r="D841" i="1"/>
  <c r="C841" i="1"/>
  <c r="B841" i="1"/>
  <c r="D838" i="1"/>
  <c r="C838" i="1"/>
  <c r="B838" i="1"/>
  <c r="D836" i="1"/>
  <c r="C836" i="1"/>
  <c r="B836" i="1"/>
  <c r="D834" i="1"/>
  <c r="C834" i="1"/>
  <c r="B834" i="1"/>
  <c r="D832" i="1"/>
  <c r="C832" i="1"/>
  <c r="B832" i="1"/>
  <c r="D831" i="1"/>
  <c r="C831" i="1"/>
  <c r="B831" i="1"/>
  <c r="D830" i="1"/>
  <c r="C830" i="1"/>
  <c r="B830" i="1"/>
  <c r="D829" i="1"/>
  <c r="C829" i="1"/>
  <c r="B829" i="1"/>
  <c r="F815" i="1"/>
  <c r="H815" i="1" s="1"/>
  <c r="G870" i="1"/>
  <c r="F773" i="1"/>
  <c r="H773" i="1" s="1"/>
  <c r="H772" i="1" s="1"/>
  <c r="G772" i="1"/>
  <c r="G869" i="1" s="1"/>
  <c r="F810" i="1"/>
  <c r="F809" i="1"/>
  <c r="F808" i="1"/>
  <c r="F807" i="1"/>
  <c r="F806" i="1"/>
  <c r="F805" i="1"/>
  <c r="F804" i="1"/>
  <c r="F803" i="1"/>
  <c r="F802" i="1"/>
  <c r="F801" i="1"/>
  <c r="F795" i="1"/>
  <c r="G795" i="1" s="1"/>
  <c r="G793" i="1" s="1"/>
  <c r="G872" i="1" s="1"/>
  <c r="F794" i="1"/>
  <c r="F790" i="1"/>
  <c r="H790" i="1" s="1"/>
  <c r="F789" i="1"/>
  <c r="G789" i="1" s="1"/>
  <c r="G785" i="1" s="1"/>
  <c r="G871" i="1" s="1"/>
  <c r="F785" i="1"/>
  <c r="H768" i="1"/>
  <c r="H765" i="1"/>
  <c r="G764" i="1"/>
  <c r="H762" i="1"/>
  <c r="H758" i="1"/>
  <c r="G756" i="1"/>
  <c r="G753" i="1"/>
  <c r="G751" i="1"/>
  <c r="H745" i="1"/>
  <c r="H743" i="1"/>
  <c r="H741" i="1"/>
  <c r="F739" i="1"/>
  <c r="F866" i="1" s="1"/>
  <c r="F734" i="1"/>
  <c r="F735" i="1" s="1"/>
  <c r="H735" i="1" s="1"/>
  <c r="F733" i="1"/>
  <c r="H733" i="1" s="1"/>
  <c r="F732" i="1"/>
  <c r="F731" i="1"/>
  <c r="H731" i="1" s="1"/>
  <c r="F729" i="1"/>
  <c r="F730" i="1" s="1"/>
  <c r="H730" i="1" s="1"/>
  <c r="F728" i="1"/>
  <c r="F726" i="1"/>
  <c r="F727" i="1" s="1"/>
  <c r="H727" i="1" s="1"/>
  <c r="F725" i="1"/>
  <c r="F722" i="1"/>
  <c r="F718" i="1"/>
  <c r="F719" i="1" s="1"/>
  <c r="F715" i="1"/>
  <c r="F714" i="1"/>
  <c r="F713" i="1"/>
  <c r="F712" i="1"/>
  <c r="F707" i="1"/>
  <c r="F708" i="1" s="1"/>
  <c r="H708" i="1" s="1"/>
  <c r="F704" i="1"/>
  <c r="F705" i="1" s="1"/>
  <c r="H705" i="1" s="1"/>
  <c r="F703" i="1"/>
  <c r="F865" i="1" s="1"/>
  <c r="F676" i="1"/>
  <c r="F691" i="1" s="1"/>
  <c r="H691" i="1" s="1"/>
  <c r="F674" i="1"/>
  <c r="G674" i="1" s="1"/>
  <c r="F672" i="1"/>
  <c r="F652" i="1"/>
  <c r="G652" i="1" s="1"/>
  <c r="F651" i="1"/>
  <c r="F657" i="1" s="1"/>
  <c r="F646" i="1"/>
  <c r="G646" i="1" s="1"/>
  <c r="F645" i="1"/>
  <c r="H645" i="1" s="1"/>
  <c r="F643" i="1"/>
  <c r="H643" i="1" s="1"/>
  <c r="F641" i="1"/>
  <c r="H641" i="1" s="1"/>
  <c r="F640" i="1"/>
  <c r="H640" i="1" s="1"/>
  <c r="F638" i="1"/>
  <c r="F637" i="1"/>
  <c r="H637" i="1" s="1"/>
  <c r="F635" i="1"/>
  <c r="H635" i="1" s="1"/>
  <c r="F634" i="1"/>
  <c r="H634" i="1" s="1"/>
  <c r="F633" i="1"/>
  <c r="H633" i="1" s="1"/>
  <c r="F632" i="1"/>
  <c r="F627" i="1"/>
  <c r="G627" i="1" s="1"/>
  <c r="F620" i="1"/>
  <c r="G620" i="1" s="1"/>
  <c r="F619" i="1"/>
  <c r="H619" i="1" s="1"/>
  <c r="F616" i="1"/>
  <c r="H616" i="1" s="1"/>
  <c r="F614" i="1"/>
  <c r="H614" i="1" s="1"/>
  <c r="F613" i="1"/>
  <c r="H613" i="1" s="1"/>
  <c r="F611" i="1"/>
  <c r="F610" i="1"/>
  <c r="H610" i="1" s="1"/>
  <c r="F608" i="1"/>
  <c r="H608" i="1" s="1"/>
  <c r="F607" i="1"/>
  <c r="H607" i="1" s="1"/>
  <c r="F606" i="1"/>
  <c r="H606" i="1" s="1"/>
  <c r="F605" i="1"/>
  <c r="F602" i="1"/>
  <c r="H602" i="1" s="1"/>
  <c r="F601" i="1"/>
  <c r="H601" i="1" s="1"/>
  <c r="F600" i="1"/>
  <c r="H600" i="1" s="1"/>
  <c r="F599" i="1"/>
  <c r="H599" i="1" s="1"/>
  <c r="F598" i="1"/>
  <c r="H598" i="1" s="1"/>
  <c r="F597" i="1"/>
  <c r="F596" i="1"/>
  <c r="H596" i="1" s="1"/>
  <c r="F594" i="1"/>
  <c r="F593" i="1"/>
  <c r="H593" i="1" s="1"/>
  <c r="F592" i="1"/>
  <c r="H592" i="1" s="1"/>
  <c r="F591" i="1"/>
  <c r="H591" i="1" s="1"/>
  <c r="F589" i="1"/>
  <c r="H589" i="1" s="1"/>
  <c r="F587" i="1"/>
  <c r="F588" i="1" s="1"/>
  <c r="G588" i="1" s="1"/>
  <c r="F583" i="1"/>
  <c r="G583" i="1" s="1"/>
  <c r="F576" i="1"/>
  <c r="G576" i="1" s="1"/>
  <c r="F575" i="1"/>
  <c r="H575" i="1" s="1"/>
  <c r="F572" i="1"/>
  <c r="H572" i="1" s="1"/>
  <c r="F570" i="1"/>
  <c r="H570" i="1" s="1"/>
  <c r="F569" i="1"/>
  <c r="F568" i="1"/>
  <c r="H568" i="1" s="1"/>
  <c r="F566" i="1"/>
  <c r="H566" i="1" s="1"/>
  <c r="F565" i="1"/>
  <c r="H565" i="1" s="1"/>
  <c r="F563" i="1"/>
  <c r="J563" i="1" s="1"/>
  <c r="F562" i="1"/>
  <c r="H562" i="1" s="1"/>
  <c r="F561" i="1"/>
  <c r="F558" i="1"/>
  <c r="F559" i="1" s="1"/>
  <c r="H559" i="1" s="1"/>
  <c r="F556" i="1"/>
  <c r="H556" i="1" s="1"/>
  <c r="F555" i="1"/>
  <c r="H555" i="1" s="1"/>
  <c r="F554" i="1"/>
  <c r="H554" i="1" s="1"/>
  <c r="F553" i="1"/>
  <c r="H553" i="1" s="1"/>
  <c r="F552" i="1"/>
  <c r="F551" i="1"/>
  <c r="H551" i="1" s="1"/>
  <c r="F549" i="1"/>
  <c r="F548" i="1"/>
  <c r="H548" i="1" s="1"/>
  <c r="F547" i="1"/>
  <c r="H547" i="1" s="1"/>
  <c r="F546" i="1"/>
  <c r="H546" i="1" s="1"/>
  <c r="F544" i="1"/>
  <c r="H544" i="1" s="1"/>
  <c r="F542" i="1"/>
  <c r="F539" i="1"/>
  <c r="J539" i="1" s="1"/>
  <c r="J533" i="1"/>
  <c r="F533" i="1" s="1"/>
  <c r="H533" i="1" s="1"/>
  <c r="F532" i="1"/>
  <c r="G532" i="1" s="1"/>
  <c r="F531" i="1"/>
  <c r="H531" i="1" s="1"/>
  <c r="F530" i="1"/>
  <c r="H530" i="1" s="1"/>
  <c r="F529" i="1"/>
  <c r="F528" i="1"/>
  <c r="H528" i="1" s="1"/>
  <c r="F516" i="1"/>
  <c r="G516" i="1" s="1"/>
  <c r="F515" i="1"/>
  <c r="H515" i="1" s="1"/>
  <c r="F514" i="1"/>
  <c r="H514" i="1" s="1"/>
  <c r="F513" i="1"/>
  <c r="H513" i="1" s="1"/>
  <c r="F512" i="1"/>
  <c r="F510" i="1"/>
  <c r="F507" i="1" s="1"/>
  <c r="H507" i="1" s="1"/>
  <c r="F505" i="1"/>
  <c r="F506" i="1" s="1"/>
  <c r="H506" i="1" s="1"/>
  <c r="F503" i="1"/>
  <c r="F504" i="1" s="1"/>
  <c r="H504" i="1" s="1"/>
  <c r="F502" i="1"/>
  <c r="H502" i="1" s="1"/>
  <c r="F501" i="1"/>
  <c r="H501" i="1" s="1"/>
  <c r="F500" i="1"/>
  <c r="F499" i="1"/>
  <c r="H499" i="1" s="1"/>
  <c r="J498" i="1"/>
  <c r="G498" i="1"/>
  <c r="J497" i="1"/>
  <c r="G497" i="1"/>
  <c r="F487" i="1"/>
  <c r="H487" i="1" s="1"/>
  <c r="F486" i="1"/>
  <c r="G486" i="1" s="1"/>
  <c r="F483" i="1"/>
  <c r="F484" i="1" s="1"/>
  <c r="H484" i="1" s="1"/>
  <c r="F465" i="1"/>
  <c r="H465" i="1" s="1"/>
  <c r="F457" i="1"/>
  <c r="H457" i="1" s="1"/>
  <c r="F455" i="1"/>
  <c r="J455" i="1" s="1"/>
  <c r="F453" i="1"/>
  <c r="H453" i="1" s="1"/>
  <c r="G452" i="1"/>
  <c r="J451" i="1"/>
  <c r="G451" i="1"/>
  <c r="F449" i="1"/>
  <c r="H449" i="1" s="1"/>
  <c r="F448" i="1"/>
  <c r="H448" i="1" s="1"/>
  <c r="F444" i="1"/>
  <c r="H444" i="1" s="1"/>
  <c r="F443" i="1"/>
  <c r="F442" i="1"/>
  <c r="H440" i="1"/>
  <c r="F430" i="1"/>
  <c r="H430" i="1" s="1"/>
  <c r="F429" i="1"/>
  <c r="F479" i="1" s="1"/>
  <c r="H479" i="1" s="1"/>
  <c r="F426" i="1"/>
  <c r="F427" i="1" s="1"/>
  <c r="F424" i="1"/>
  <c r="G424" i="1" s="1"/>
  <c r="F423" i="1"/>
  <c r="H423" i="1" s="1"/>
  <c r="F422" i="1"/>
  <c r="H422" i="1" s="1"/>
  <c r="H421" i="1"/>
  <c r="H420" i="1"/>
  <c r="F419" i="1"/>
  <c r="F418" i="1"/>
  <c r="F404" i="1"/>
  <c r="H404" i="1" s="1"/>
  <c r="F402" i="1"/>
  <c r="F403" i="1" s="1"/>
  <c r="G403" i="1" s="1"/>
  <c r="H400" i="1"/>
  <c r="H399" i="1"/>
  <c r="F398" i="1"/>
  <c r="F397" i="1"/>
  <c r="H397" i="1" s="1"/>
  <c r="F396" i="1"/>
  <c r="H396" i="1" s="1"/>
  <c r="F395" i="1"/>
  <c r="H395" i="1" s="1"/>
  <c r="F394" i="1"/>
  <c r="H394" i="1" s="1"/>
  <c r="F392" i="1"/>
  <c r="H392" i="1" s="1"/>
  <c r="F391" i="1"/>
  <c r="H391" i="1" s="1"/>
  <c r="F390" i="1"/>
  <c r="F389" i="1"/>
  <c r="H389" i="1" s="1"/>
  <c r="F388" i="1"/>
  <c r="H388" i="1" s="1"/>
  <c r="F387" i="1"/>
  <c r="H387" i="1" s="1"/>
  <c r="F383" i="1"/>
  <c r="H383" i="1" s="1"/>
  <c r="F382" i="1"/>
  <c r="J380" i="1"/>
  <c r="F367" i="1"/>
  <c r="H367" i="1" s="1"/>
  <c r="F365" i="1"/>
  <c r="H365" i="1" s="1"/>
  <c r="F364" i="1"/>
  <c r="H364" i="1" s="1"/>
  <c r="F363" i="1"/>
  <c r="J360" i="1"/>
  <c r="G360" i="1"/>
  <c r="J359" i="1"/>
  <c r="G359" i="1"/>
  <c r="F357" i="1"/>
  <c r="F848" i="1" s="1"/>
  <c r="F353" i="1"/>
  <c r="F352" i="1" s="1"/>
  <c r="G352" i="1" s="1"/>
  <c r="F349" i="1"/>
  <c r="H349" i="1" s="1"/>
  <c r="F348" i="1"/>
  <c r="J348" i="1" s="1"/>
  <c r="F345" i="1"/>
  <c r="H345" i="1" s="1"/>
  <c r="F344" i="1"/>
  <c r="H344" i="1" s="1"/>
  <c r="F343" i="1"/>
  <c r="H343" i="1" s="1"/>
  <c r="F342" i="1"/>
  <c r="H342" i="1" s="1"/>
  <c r="F340" i="1"/>
  <c r="H340" i="1" s="1"/>
  <c r="F339" i="1"/>
  <c r="H339" i="1" s="1"/>
  <c r="F337" i="1"/>
  <c r="F336" i="1"/>
  <c r="H334" i="1"/>
  <c r="J333" i="1"/>
  <c r="G333" i="1"/>
  <c r="J332" i="1"/>
  <c r="G332" i="1"/>
  <c r="J331" i="1"/>
  <c r="G331" i="1"/>
  <c r="F329" i="1"/>
  <c r="F847" i="1" s="1"/>
  <c r="F311" i="1"/>
  <c r="H311" i="1" s="1"/>
  <c r="J305" i="1"/>
  <c r="G305" i="1"/>
  <c r="J304" i="1"/>
  <c r="G304" i="1"/>
  <c r="F303" i="1"/>
  <c r="F320" i="1" s="1"/>
  <c r="H320" i="1" s="1"/>
  <c r="F284" i="1"/>
  <c r="H284" i="1" s="1"/>
  <c r="J277" i="1"/>
  <c r="G277" i="1"/>
  <c r="F276" i="1"/>
  <c r="F297" i="1" s="1"/>
  <c r="H297" i="1" s="1"/>
  <c r="J267" i="1"/>
  <c r="G267" i="1"/>
  <c r="C266" i="1"/>
  <c r="F259" i="1"/>
  <c r="H259" i="1" s="1"/>
  <c r="J243" i="1"/>
  <c r="J242" i="1"/>
  <c r="F240" i="1"/>
  <c r="F262" i="1" s="1"/>
  <c r="H262" i="1" s="1"/>
  <c r="J221" i="1"/>
  <c r="G221" i="1"/>
  <c r="J220" i="1"/>
  <c r="G220" i="1"/>
  <c r="F219" i="1"/>
  <c r="F223" i="1" s="1"/>
  <c r="J223" i="1" s="1"/>
  <c r="F204" i="1"/>
  <c r="H204" i="1" s="1"/>
  <c r="G200" i="1"/>
  <c r="J199" i="1"/>
  <c r="G199" i="1"/>
  <c r="J198" i="1"/>
  <c r="G198" i="1"/>
  <c r="F197" i="1"/>
  <c r="F211" i="1" s="1"/>
  <c r="H211" i="1" s="1"/>
  <c r="J172" i="1"/>
  <c r="G172" i="1"/>
  <c r="J171" i="1"/>
  <c r="G171" i="1"/>
  <c r="J170" i="1"/>
  <c r="G170" i="1"/>
  <c r="F169" i="1"/>
  <c r="F191" i="1" s="1"/>
  <c r="F150" i="1"/>
  <c r="H150" i="1" s="1"/>
  <c r="J148" i="1"/>
  <c r="G148" i="1"/>
  <c r="J147" i="1"/>
  <c r="G147" i="1"/>
  <c r="J146" i="1"/>
  <c r="G146" i="1"/>
  <c r="J145" i="1"/>
  <c r="G145" i="1"/>
  <c r="J144" i="1"/>
  <c r="G144" i="1"/>
  <c r="F143" i="1"/>
  <c r="F159" i="1" s="1"/>
  <c r="J123" i="1"/>
  <c r="G123" i="1"/>
  <c r="J122" i="1"/>
  <c r="G122" i="1"/>
  <c r="J121" i="1"/>
  <c r="G121" i="1"/>
  <c r="J120" i="1"/>
  <c r="G120" i="1"/>
  <c r="F119" i="1"/>
  <c r="F133" i="1" s="1"/>
  <c r="F111" i="1"/>
  <c r="H111" i="1" s="1"/>
  <c r="F103" i="1"/>
  <c r="H103" i="1" s="1"/>
  <c r="F101" i="1"/>
  <c r="H101" i="1" s="1"/>
  <c r="F100" i="1"/>
  <c r="H100" i="1" s="1"/>
  <c r="F99" i="1"/>
  <c r="J99" i="1" s="1"/>
  <c r="F98" i="1"/>
  <c r="G98" i="1" s="1"/>
  <c r="F97" i="1"/>
  <c r="H97" i="1" s="1"/>
  <c r="F93" i="1"/>
  <c r="H93" i="1" s="1"/>
  <c r="F92" i="1"/>
  <c r="H92" i="1" s="1"/>
  <c r="F90" i="1"/>
  <c r="F91" i="1" s="1"/>
  <c r="F94" i="1" s="1"/>
  <c r="F89" i="1"/>
  <c r="F96" i="1" s="1"/>
  <c r="H96" i="1" s="1"/>
  <c r="F88" i="1"/>
  <c r="H88" i="1" s="1"/>
  <c r="F87" i="1"/>
  <c r="H87" i="1" s="1"/>
  <c r="H85" i="1"/>
  <c r="F81" i="1"/>
  <c r="F838" i="1" s="1"/>
  <c r="J78" i="1"/>
  <c r="F78" i="1" s="1"/>
  <c r="H78" i="1" s="1"/>
  <c r="F69" i="1"/>
  <c r="F70" i="1" s="1"/>
  <c r="G70" i="1" s="1"/>
  <c r="F66" i="1"/>
  <c r="F67" i="1" s="1"/>
  <c r="H67" i="1" s="1"/>
  <c r="D56" i="1"/>
  <c r="F48" i="1" s="1"/>
  <c r="H48" i="1" s="1"/>
  <c r="H47" i="1" s="1"/>
  <c r="H55" i="1"/>
  <c r="H54" i="1"/>
  <c r="H53" i="1"/>
  <c r="H52" i="1"/>
  <c r="H51" i="1"/>
  <c r="E43" i="1"/>
  <c r="E42" i="1"/>
  <c r="F35" i="1"/>
  <c r="F832" i="1" s="1"/>
  <c r="E31" i="1"/>
  <c r="E30" i="1"/>
  <c r="F23" i="1"/>
  <c r="F24" i="1" s="1"/>
  <c r="H24" i="1" s="1"/>
  <c r="E19" i="1"/>
  <c r="E18" i="1"/>
  <c r="E17" i="1"/>
  <c r="E16" i="1"/>
  <c r="E15" i="1"/>
  <c r="E14" i="1"/>
  <c r="F10" i="1"/>
  <c r="G10" i="1" s="1"/>
  <c r="H9" i="1"/>
  <c r="F7" i="1"/>
  <c r="F829" i="1" s="1"/>
  <c r="S3" i="2" l="1"/>
  <c r="C3" i="2"/>
  <c r="K3" i="2"/>
  <c r="W3" i="2"/>
  <c r="Y3" i="2"/>
  <c r="G632" i="1" s="1"/>
  <c r="G625" i="1" s="1"/>
  <c r="G860" i="1" s="1"/>
  <c r="I3" i="2"/>
  <c r="G3" i="2"/>
  <c r="O3" i="2"/>
  <c r="G718" i="1" s="1"/>
  <c r="Q3" i="2"/>
  <c r="E3" i="2"/>
  <c r="G512" i="1" s="1"/>
  <c r="M3" i="2"/>
  <c r="U3" i="2"/>
  <c r="G464" i="1"/>
  <c r="K818" i="1"/>
  <c r="K875" i="1" s="1"/>
  <c r="J875" i="1"/>
  <c r="G381" i="1"/>
  <c r="F462" i="1"/>
  <c r="J462" i="1" s="1"/>
  <c r="G377" i="1"/>
  <c r="F475" i="1"/>
  <c r="H475" i="1" s="1"/>
  <c r="G713" i="1"/>
  <c r="G722" i="1"/>
  <c r="G380" i="1"/>
  <c r="G390" i="1"/>
  <c r="F405" i="1"/>
  <c r="F406" i="1" s="1"/>
  <c r="H406" i="1" s="1"/>
  <c r="J381" i="1"/>
  <c r="G463" i="1"/>
  <c r="G552" i="1"/>
  <c r="G461" i="1"/>
  <c r="G715" i="1"/>
  <c r="F446" i="1"/>
  <c r="F447" i="1" s="1"/>
  <c r="H447" i="1" s="1"/>
  <c r="F60" i="1"/>
  <c r="F836" i="1" s="1"/>
  <c r="H477" i="1"/>
  <c r="H416" i="1"/>
  <c r="H503" i="1"/>
  <c r="F709" i="1"/>
  <c r="G709" i="1" s="1"/>
  <c r="G714" i="1"/>
  <c r="F338" i="1"/>
  <c r="F341" i="1" s="1"/>
  <c r="G341" i="1" s="1"/>
  <c r="F384" i="1"/>
  <c r="G384" i="1" s="1"/>
  <c r="F564" i="1"/>
  <c r="H564" i="1" s="1"/>
  <c r="H739" i="1"/>
  <c r="F47" i="1"/>
  <c r="F834" i="1" s="1"/>
  <c r="H729" i="1"/>
  <c r="G500" i="1"/>
  <c r="F163" i="1"/>
  <c r="H163" i="1" s="1"/>
  <c r="F309" i="1"/>
  <c r="J309" i="1" s="1"/>
  <c r="H510" i="1"/>
  <c r="G418" i="1"/>
  <c r="F202" i="1"/>
  <c r="J202" i="1" s="1"/>
  <c r="F302" i="1"/>
  <c r="F844" i="1" s="1"/>
  <c r="F324" i="1"/>
  <c r="H324" i="1" s="1"/>
  <c r="G402" i="1"/>
  <c r="F511" i="1"/>
  <c r="H511" i="1" s="1"/>
  <c r="J674" i="1"/>
  <c r="F720" i="1"/>
  <c r="H720" i="1" s="1"/>
  <c r="G739" i="1"/>
  <c r="G866" i="1" s="1"/>
  <c r="G442" i="1"/>
  <c r="H89" i="1"/>
  <c r="F196" i="1"/>
  <c r="F265" i="1" s="1"/>
  <c r="J402" i="1"/>
  <c r="H417" i="1"/>
  <c r="F466" i="1"/>
  <c r="H466" i="1" s="1"/>
  <c r="F485" i="1"/>
  <c r="J485" i="1" s="1"/>
  <c r="F662" i="1"/>
  <c r="H662" i="1" s="1"/>
  <c r="H794" i="1"/>
  <c r="H793" i="1" s="1"/>
  <c r="I793" i="1" s="1"/>
  <c r="G348" i="1"/>
  <c r="H446" i="1"/>
  <c r="F798" i="1"/>
  <c r="F811" i="1" s="1"/>
  <c r="G811" i="1" s="1"/>
  <c r="G798" i="1" s="1"/>
  <c r="G873" i="1" s="1"/>
  <c r="F228" i="1"/>
  <c r="G228" i="1" s="1"/>
  <c r="G732" i="1"/>
  <c r="H69" i="1"/>
  <c r="F165" i="1"/>
  <c r="H165" i="1" s="1"/>
  <c r="F230" i="1"/>
  <c r="G230" i="1" s="1"/>
  <c r="H353" i="1"/>
  <c r="J371" i="1"/>
  <c r="F371" i="1" s="1"/>
  <c r="H371" i="1" s="1"/>
  <c r="F480" i="1"/>
  <c r="H480" i="1" s="1"/>
  <c r="J583" i="1"/>
  <c r="J621" i="1" s="1"/>
  <c r="F621" i="1" s="1"/>
  <c r="H621" i="1" s="1"/>
  <c r="F603" i="1"/>
  <c r="H603" i="1" s="1"/>
  <c r="J627" i="1"/>
  <c r="J647" i="1" s="1"/>
  <c r="F647" i="1" s="1"/>
  <c r="H647" i="1" s="1"/>
  <c r="F706" i="1"/>
  <c r="G706" i="1" s="1"/>
  <c r="F716" i="1"/>
  <c r="H716" i="1" s="1"/>
  <c r="F236" i="1"/>
  <c r="H236" i="1" s="1"/>
  <c r="H56" i="1"/>
  <c r="F49" i="1" s="1"/>
  <c r="G49" i="1" s="1"/>
  <c r="G47" i="1" s="1"/>
  <c r="G834" i="1" s="1"/>
  <c r="H66" i="1"/>
  <c r="F112" i="1"/>
  <c r="H112" i="1" s="1"/>
  <c r="F222" i="1"/>
  <c r="J222" i="1" s="1"/>
  <c r="J238" i="1" s="1"/>
  <c r="F238" i="1" s="1"/>
  <c r="H238" i="1" s="1"/>
  <c r="F232" i="1"/>
  <c r="H232" i="1" s="1"/>
  <c r="H468" i="1"/>
  <c r="G505" i="1"/>
  <c r="F508" i="1"/>
  <c r="F509" i="1" s="1"/>
  <c r="G509" i="1" s="1"/>
  <c r="F639" i="1"/>
  <c r="H639" i="1" s="1"/>
  <c r="H625" i="1" s="1"/>
  <c r="G712" i="1"/>
  <c r="F723" i="1"/>
  <c r="F36" i="1"/>
  <c r="H36" i="1" s="1"/>
  <c r="F8" i="1"/>
  <c r="J8" i="1" s="1"/>
  <c r="F102" i="1"/>
  <c r="G102" i="1" s="1"/>
  <c r="F161" i="1"/>
  <c r="H161" i="1" s="1"/>
  <c r="F207" i="1"/>
  <c r="G207" i="1" s="1"/>
  <c r="F226" i="1"/>
  <c r="H226" i="1" s="1"/>
  <c r="F234" i="1"/>
  <c r="H234" i="1" s="1"/>
  <c r="F308" i="1"/>
  <c r="J308" i="1" s="1"/>
  <c r="F314" i="1"/>
  <c r="H314" i="1" s="1"/>
  <c r="J354" i="1"/>
  <c r="F354" i="1" s="1"/>
  <c r="H354" i="1" s="1"/>
  <c r="F346" i="1"/>
  <c r="F347" i="1" s="1"/>
  <c r="H347" i="1" s="1"/>
  <c r="F411" i="1"/>
  <c r="H411" i="1" s="1"/>
  <c r="H478" i="1"/>
  <c r="G597" i="1"/>
  <c r="J652" i="1"/>
  <c r="F724" i="1"/>
  <c r="H724" i="1" s="1"/>
  <c r="H834" i="1"/>
  <c r="F95" i="1"/>
  <c r="G95" i="1" s="1"/>
  <c r="J94" i="1"/>
  <c r="F192" i="1"/>
  <c r="H191" i="1"/>
  <c r="F107" i="1"/>
  <c r="F135" i="1"/>
  <c r="H135" i="1" s="1"/>
  <c r="F139" i="1"/>
  <c r="H139" i="1" s="1"/>
  <c r="F126" i="1"/>
  <c r="H126" i="1" s="1"/>
  <c r="F130" i="1"/>
  <c r="F152" i="1"/>
  <c r="H152" i="1" s="1"/>
  <c r="F160" i="1"/>
  <c r="J160" i="1" s="1"/>
  <c r="J168" i="1" s="1"/>
  <c r="F168" i="1" s="1"/>
  <c r="H168" i="1" s="1"/>
  <c r="F176" i="1"/>
  <c r="H176" i="1" s="1"/>
  <c r="F180" i="1"/>
  <c r="F184" i="1"/>
  <c r="H338" i="1"/>
  <c r="F11" i="1"/>
  <c r="H99" i="1"/>
  <c r="F108" i="1"/>
  <c r="F118" i="1"/>
  <c r="F841" i="1" s="1"/>
  <c r="F136" i="1"/>
  <c r="H136" i="1" s="1"/>
  <c r="F138" i="1"/>
  <c r="H138" i="1" s="1"/>
  <c r="F140" i="1"/>
  <c r="F162" i="1"/>
  <c r="H162" i="1" s="1"/>
  <c r="F164" i="1"/>
  <c r="H164" i="1" s="1"/>
  <c r="F166" i="1"/>
  <c r="F186" i="1"/>
  <c r="H186" i="1" s="1"/>
  <c r="F188" i="1"/>
  <c r="H188" i="1" s="1"/>
  <c r="F190" i="1"/>
  <c r="H190" i="1" s="1"/>
  <c r="F201" i="1"/>
  <c r="F205" i="1"/>
  <c r="H205" i="1" s="1"/>
  <c r="G223" i="1"/>
  <c r="F296" i="1"/>
  <c r="F294" i="1"/>
  <c r="H294" i="1" s="1"/>
  <c r="F287" i="1"/>
  <c r="H287" i="1" s="1"/>
  <c r="F281" i="1"/>
  <c r="F298" i="1"/>
  <c r="H298" i="1" s="1"/>
  <c r="F282" i="1"/>
  <c r="F275" i="1"/>
  <c r="F295" i="1"/>
  <c r="H295" i="1" s="1"/>
  <c r="F291" i="1"/>
  <c r="J403" i="1"/>
  <c r="F459" i="1"/>
  <c r="F543" i="1"/>
  <c r="G543" i="1" s="1"/>
  <c r="H542" i="1"/>
  <c r="F137" i="1"/>
  <c r="H137" i="1" s="1"/>
  <c r="F128" i="1"/>
  <c r="G128" i="1" s="1"/>
  <c r="F132" i="1"/>
  <c r="H132" i="1" s="1"/>
  <c r="F134" i="1"/>
  <c r="J134" i="1" s="1"/>
  <c r="J142" i="1" s="1"/>
  <c r="F142" i="1" s="1"/>
  <c r="H142" i="1" s="1"/>
  <c r="F154" i="1"/>
  <c r="F158" i="1"/>
  <c r="H158" i="1" s="1"/>
  <c r="F178" i="1"/>
  <c r="G178" i="1" s="1"/>
  <c r="F182" i="1"/>
  <c r="H182" i="1" s="1"/>
  <c r="F393" i="1"/>
  <c r="H382" i="1"/>
  <c r="J657" i="1"/>
  <c r="G657" i="1"/>
  <c r="F830" i="1"/>
  <c r="F831" i="1"/>
  <c r="F25" i="1"/>
  <c r="F27" i="1"/>
  <c r="F37" i="1"/>
  <c r="F39" i="1"/>
  <c r="F125" i="1"/>
  <c r="H125" i="1" s="1"/>
  <c r="F127" i="1"/>
  <c r="H127" i="1" s="1"/>
  <c r="F129" i="1"/>
  <c r="F151" i="1"/>
  <c r="H151" i="1" s="1"/>
  <c r="F153" i="1"/>
  <c r="G153" i="1" s="1"/>
  <c r="F155" i="1"/>
  <c r="F157" i="1"/>
  <c r="H157" i="1" s="1"/>
  <c r="F175" i="1"/>
  <c r="H175" i="1" s="1"/>
  <c r="F177" i="1"/>
  <c r="F179" i="1"/>
  <c r="F185" i="1"/>
  <c r="J185" i="1" s="1"/>
  <c r="F214" i="1"/>
  <c r="H214" i="1" s="1"/>
  <c r="F212" i="1"/>
  <c r="H212" i="1" s="1"/>
  <c r="F208" i="1"/>
  <c r="F206" i="1"/>
  <c r="H206" i="1" s="1"/>
  <c r="F215" i="1"/>
  <c r="H215" i="1" s="1"/>
  <c r="F187" i="1"/>
  <c r="H187" i="1" s="1"/>
  <c r="F189" i="1"/>
  <c r="H189" i="1" s="1"/>
  <c r="F209" i="1"/>
  <c r="F213" i="1"/>
  <c r="H213" i="1" s="1"/>
  <c r="G409" i="1"/>
  <c r="F428" i="1"/>
  <c r="H427" i="1"/>
  <c r="F251" i="1"/>
  <c r="H251" i="1" s="1"/>
  <c r="F253" i="1"/>
  <c r="H253" i="1" s="1"/>
  <c r="F255" i="1"/>
  <c r="F261" i="1"/>
  <c r="H261" i="1" s="1"/>
  <c r="F319" i="1"/>
  <c r="H319" i="1" s="1"/>
  <c r="F322" i="1"/>
  <c r="F361" i="1"/>
  <c r="H361" i="1" s="1"/>
  <c r="F481" i="1"/>
  <c r="G481" i="1" s="1"/>
  <c r="F862" i="1"/>
  <c r="F697" i="1"/>
  <c r="H697" i="1" s="1"/>
  <c r="F693" i="1"/>
  <c r="H693" i="1" s="1"/>
  <c r="F684" i="1"/>
  <c r="F682" i="1"/>
  <c r="G682" i="1" s="1"/>
  <c r="F680" i="1"/>
  <c r="H680" i="1" s="1"/>
  <c r="F678" i="1"/>
  <c r="H678" i="1" s="1"/>
  <c r="F687" i="1"/>
  <c r="H687" i="1" s="1"/>
  <c r="F695" i="1"/>
  <c r="H695" i="1" s="1"/>
  <c r="F692" i="1"/>
  <c r="H692" i="1" s="1"/>
  <c r="F685" i="1"/>
  <c r="F683" i="1"/>
  <c r="H683" i="1" s="1"/>
  <c r="F681" i="1"/>
  <c r="H681" i="1" s="1"/>
  <c r="F679" i="1"/>
  <c r="G679" i="1" s="1"/>
  <c r="G814" i="1"/>
  <c r="G874" i="1" s="1"/>
  <c r="H814" i="1"/>
  <c r="F225" i="1"/>
  <c r="H225" i="1" s="1"/>
  <c r="F227" i="1"/>
  <c r="H227" i="1" s="1"/>
  <c r="F229" i="1"/>
  <c r="F233" i="1"/>
  <c r="H233" i="1" s="1"/>
  <c r="F235" i="1"/>
  <c r="H235" i="1" s="1"/>
  <c r="F237" i="1"/>
  <c r="F247" i="1"/>
  <c r="F323" i="1"/>
  <c r="H323" i="1" s="1"/>
  <c r="F350" i="1"/>
  <c r="F368" i="1"/>
  <c r="F370" i="1"/>
  <c r="H414" i="1"/>
  <c r="G429" i="1"/>
  <c r="G455" i="1"/>
  <c r="J517" i="1"/>
  <c r="F517" i="1" s="1"/>
  <c r="H517" i="1" s="1"/>
  <c r="H521" i="1"/>
  <c r="F245" i="1"/>
  <c r="F252" i="1"/>
  <c r="H252" i="1" s="1"/>
  <c r="F254" i="1"/>
  <c r="G254" i="1" s="1"/>
  <c r="F256" i="1"/>
  <c r="F258" i="1"/>
  <c r="H258" i="1" s="1"/>
  <c r="F260" i="1"/>
  <c r="H260" i="1" s="1"/>
  <c r="F316" i="1"/>
  <c r="F351" i="1"/>
  <c r="H351" i="1" s="1"/>
  <c r="F445" i="1"/>
  <c r="F456" i="1"/>
  <c r="J577" i="1"/>
  <c r="F577" i="1" s="1"/>
  <c r="H577" i="1" s="1"/>
  <c r="F861" i="1"/>
  <c r="F661" i="1"/>
  <c r="F655" i="1"/>
  <c r="H655" i="1" s="1"/>
  <c r="F667" i="1"/>
  <c r="G667" i="1" s="1"/>
  <c r="F664" i="1"/>
  <c r="H664" i="1" s="1"/>
  <c r="F660" i="1"/>
  <c r="H660" i="1" s="1"/>
  <c r="F656" i="1"/>
  <c r="F658" i="1" s="1"/>
  <c r="H658" i="1" s="1"/>
  <c r="F654" i="1"/>
  <c r="F666" i="1"/>
  <c r="H666" i="1" s="1"/>
  <c r="F688" i="1"/>
  <c r="H688" i="1" s="1"/>
  <c r="F612" i="1"/>
  <c r="H612" i="1" s="1"/>
  <c r="G539" i="1"/>
  <c r="H558" i="1"/>
  <c r="G563" i="1"/>
  <c r="H587" i="1"/>
  <c r="G676" i="1"/>
  <c r="F690" i="1"/>
  <c r="H726" i="1"/>
  <c r="H734" i="1"/>
  <c r="F788" i="1"/>
  <c r="H788" i="1" s="1"/>
  <c r="H785" i="1" s="1"/>
  <c r="F871" i="1"/>
  <c r="I772" i="1"/>
  <c r="H869" i="1"/>
  <c r="G725" i="1"/>
  <c r="D111" i="3"/>
  <c r="F378" i="1"/>
  <c r="G728" i="1"/>
  <c r="D80" i="3"/>
  <c r="G654" i="1" l="1"/>
  <c r="G605" i="1"/>
  <c r="G255" i="1"/>
  <c r="G561" i="1"/>
  <c r="G537" i="1" s="1"/>
  <c r="G858" i="1" s="1"/>
  <c r="G529" i="1"/>
  <c r="G521" i="1" s="1"/>
  <c r="G855" i="1" s="1"/>
  <c r="G419" i="1"/>
  <c r="G393" i="1"/>
  <c r="F476" i="1"/>
  <c r="H476" i="1" s="1"/>
  <c r="F73" i="1"/>
  <c r="F72" i="1" s="1"/>
  <c r="F472" i="1"/>
  <c r="H472" i="1" s="1"/>
  <c r="H405" i="1"/>
  <c r="G462" i="1"/>
  <c r="F77" i="1"/>
  <c r="G77" i="1" s="1"/>
  <c r="G60" i="1" s="1"/>
  <c r="G836" i="1" s="1"/>
  <c r="H872" i="1"/>
  <c r="G581" i="1"/>
  <c r="G859" i="1" s="1"/>
  <c r="F74" i="1"/>
  <c r="F75" i="1" s="1"/>
  <c r="H75" i="1" s="1"/>
  <c r="F318" i="1"/>
  <c r="H318" i="1" s="1"/>
  <c r="I739" i="1"/>
  <c r="I866" i="1" s="1"/>
  <c r="G485" i="1"/>
  <c r="F412" i="1"/>
  <c r="F413" i="1" s="1"/>
  <c r="G413" i="1" s="1"/>
  <c r="F231" i="1"/>
  <c r="H231" i="1" s="1"/>
  <c r="F842" i="1"/>
  <c r="H866" i="1"/>
  <c r="J325" i="1"/>
  <c r="F325" i="1" s="1"/>
  <c r="H325" i="1" s="1"/>
  <c r="G703" i="1"/>
  <c r="G865" i="1" s="1"/>
  <c r="G222" i="1"/>
  <c r="G309" i="1"/>
  <c r="F467" i="1"/>
  <c r="H467" i="1" s="1"/>
  <c r="G308" i="1"/>
  <c r="G202" i="1"/>
  <c r="G81" i="1"/>
  <c r="G838" i="1" s="1"/>
  <c r="F873" i="1"/>
  <c r="H703" i="1"/>
  <c r="H865" i="1" s="1"/>
  <c r="F799" i="1"/>
  <c r="H799" i="1" s="1"/>
  <c r="H798" i="1" s="1"/>
  <c r="H873" i="1" s="1"/>
  <c r="H494" i="1"/>
  <c r="H854" i="1" s="1"/>
  <c r="H8" i="1"/>
  <c r="I47" i="1"/>
  <c r="I834" i="1" s="1"/>
  <c r="G229" i="1"/>
  <c r="G494" i="1"/>
  <c r="G854" i="1" s="1"/>
  <c r="G346" i="1"/>
  <c r="G329" i="1" s="1"/>
  <c r="G847" i="1" s="1"/>
  <c r="G134" i="1"/>
  <c r="H73" i="1"/>
  <c r="H871" i="1"/>
  <c r="I785" i="1"/>
  <c r="G129" i="1"/>
  <c r="F106" i="1"/>
  <c r="H107" i="1"/>
  <c r="F470" i="1"/>
  <c r="J459" i="1"/>
  <c r="G154" i="1"/>
  <c r="I869" i="1"/>
  <c r="E772" i="1"/>
  <c r="E869" i="1" s="1"/>
  <c r="J772" i="1"/>
  <c r="F473" i="1"/>
  <c r="F474" i="1" s="1"/>
  <c r="G474" i="1" s="1"/>
  <c r="F210" i="1"/>
  <c r="H210" i="1" s="1"/>
  <c r="G209" i="1"/>
  <c r="F38" i="1"/>
  <c r="G38" i="1" s="1"/>
  <c r="H37" i="1"/>
  <c r="G185" i="1"/>
  <c r="J104" i="1"/>
  <c r="F104" i="1" s="1"/>
  <c r="H104" i="1" s="1"/>
  <c r="H581" i="1"/>
  <c r="F156" i="1"/>
  <c r="H156" i="1" s="1"/>
  <c r="G155" i="1"/>
  <c r="H27" i="1"/>
  <c r="F28" i="1"/>
  <c r="I872" i="1"/>
  <c r="J793" i="1"/>
  <c r="E793" i="1"/>
  <c r="E872" i="1" s="1"/>
  <c r="J656" i="1"/>
  <c r="J668" i="1" s="1"/>
  <c r="F668" i="1" s="1"/>
  <c r="H668" i="1" s="1"/>
  <c r="H651" i="1" s="1"/>
  <c r="G656" i="1"/>
  <c r="G651" i="1" s="1"/>
  <c r="G861" i="1" s="1"/>
  <c r="J245" i="1"/>
  <c r="G245" i="1"/>
  <c r="H855" i="1"/>
  <c r="H874" i="1"/>
  <c r="I814" i="1"/>
  <c r="G428" i="1"/>
  <c r="J428" i="1"/>
  <c r="H177" i="1"/>
  <c r="F183" i="1"/>
  <c r="H183" i="1" s="1"/>
  <c r="F26" i="1"/>
  <c r="G26" i="1" s="1"/>
  <c r="H25" i="1"/>
  <c r="H23" i="1" s="1"/>
  <c r="J281" i="1"/>
  <c r="G281" i="1"/>
  <c r="J201" i="1"/>
  <c r="J217" i="1" s="1"/>
  <c r="F217" i="1" s="1"/>
  <c r="H217" i="1" s="1"/>
  <c r="G201" i="1"/>
  <c r="H140" i="1"/>
  <c r="F141" i="1"/>
  <c r="G141" i="1" s="1"/>
  <c r="H108" i="1"/>
  <c r="F109" i="1"/>
  <c r="H109" i="1" s="1"/>
  <c r="H11" i="1"/>
  <c r="F12" i="1"/>
  <c r="J11" i="1"/>
  <c r="G179" i="1"/>
  <c r="F181" i="1"/>
  <c r="H181" i="1" s="1"/>
  <c r="G180" i="1"/>
  <c r="F131" i="1"/>
  <c r="H131" i="1" s="1"/>
  <c r="G130" i="1"/>
  <c r="J192" i="1"/>
  <c r="J193" i="1" s="1"/>
  <c r="F193" i="1" s="1"/>
  <c r="H193" i="1" s="1"/>
  <c r="G192" i="1"/>
  <c r="F317" i="1"/>
  <c r="H317" i="1" s="1"/>
  <c r="G316" i="1"/>
  <c r="H860" i="1"/>
  <c r="I625" i="1"/>
  <c r="I776" i="1"/>
  <c r="H870" i="1"/>
  <c r="J685" i="1"/>
  <c r="J699" i="1" s="1"/>
  <c r="F699" i="1" s="1"/>
  <c r="H699" i="1" s="1"/>
  <c r="G685" i="1"/>
  <c r="F686" i="1"/>
  <c r="H686" i="1" s="1"/>
  <c r="F266" i="1"/>
  <c r="F268" i="1"/>
  <c r="G268" i="1" s="1"/>
  <c r="F269" i="1"/>
  <c r="H269" i="1" s="1"/>
  <c r="G282" i="1"/>
  <c r="J282" i="1"/>
  <c r="J456" i="1"/>
  <c r="G456" i="1"/>
  <c r="F292" i="1"/>
  <c r="H292" i="1" s="1"/>
  <c r="G291" i="1"/>
  <c r="E739" i="1"/>
  <c r="E866" i="1" s="1"/>
  <c r="F407" i="1"/>
  <c r="J378" i="1"/>
  <c r="G378" i="1"/>
  <c r="F257" i="1"/>
  <c r="H257" i="1" s="1"/>
  <c r="G256" i="1"/>
  <c r="G368" i="1"/>
  <c r="G357" i="1" s="1"/>
  <c r="G848" i="1" s="1"/>
  <c r="F369" i="1"/>
  <c r="H369" i="1" s="1"/>
  <c r="H357" i="1" s="1"/>
  <c r="G247" i="1"/>
  <c r="J247" i="1"/>
  <c r="F698" i="1"/>
  <c r="G698" i="1" s="1"/>
  <c r="H684" i="1"/>
  <c r="H39" i="1"/>
  <c r="F40" i="1"/>
  <c r="G208" i="1"/>
  <c r="H537" i="1"/>
  <c r="F843" i="1"/>
  <c r="F293" i="1"/>
  <c r="H293" i="1" s="1"/>
  <c r="F167" i="1"/>
  <c r="G167" i="1" s="1"/>
  <c r="H166" i="1"/>
  <c r="H329" i="1"/>
  <c r="G160" i="1"/>
  <c r="E47" i="1"/>
  <c r="E834" i="1" s="1"/>
  <c r="I521" i="1" l="1"/>
  <c r="I703" i="1"/>
  <c r="J703" i="1" s="1"/>
  <c r="J47" i="1"/>
  <c r="K47" i="1" s="1"/>
  <c r="K834" i="1" s="1"/>
  <c r="J739" i="1"/>
  <c r="J866" i="1" s="1"/>
  <c r="I798" i="1"/>
  <c r="I873" i="1" s="1"/>
  <c r="G375" i="1"/>
  <c r="G852" i="1" s="1"/>
  <c r="J489" i="1"/>
  <c r="F489" i="1" s="1"/>
  <c r="H489" i="1" s="1"/>
  <c r="H74" i="1"/>
  <c r="H60" i="1" s="1"/>
  <c r="H836" i="1" s="1"/>
  <c r="H302" i="1"/>
  <c r="H844" i="1" s="1"/>
  <c r="G302" i="1"/>
  <c r="G844" i="1" s="1"/>
  <c r="H7" i="1"/>
  <c r="H829" i="1" s="1"/>
  <c r="I494" i="1"/>
  <c r="E494" i="1" s="1"/>
  <c r="E854" i="1" s="1"/>
  <c r="H672" i="1"/>
  <c r="H862" i="1" s="1"/>
  <c r="G672" i="1"/>
  <c r="G862" i="1" s="1"/>
  <c r="G118" i="1"/>
  <c r="G841" i="1" s="1"/>
  <c r="H35" i="1"/>
  <c r="H832" i="1" s="1"/>
  <c r="J432" i="1"/>
  <c r="F432" i="1" s="1"/>
  <c r="H432" i="1" s="1"/>
  <c r="H118" i="1"/>
  <c r="H848" i="1"/>
  <c r="I357" i="1"/>
  <c r="I651" i="1"/>
  <c r="H861" i="1"/>
  <c r="H847" i="1"/>
  <c r="I329" i="1"/>
  <c r="G196" i="1"/>
  <c r="G842" i="1" s="1"/>
  <c r="J814" i="1"/>
  <c r="E814" i="1"/>
  <c r="E874" i="1" s="1"/>
  <c r="I874" i="1"/>
  <c r="J872" i="1"/>
  <c r="K793" i="1"/>
  <c r="K872" i="1" s="1"/>
  <c r="I865" i="1"/>
  <c r="J834" i="1"/>
  <c r="I870" i="1"/>
  <c r="J776" i="1"/>
  <c r="E776" i="1"/>
  <c r="E870" i="1" s="1"/>
  <c r="H831" i="1"/>
  <c r="H830" i="1"/>
  <c r="J272" i="1"/>
  <c r="F272" i="1" s="1"/>
  <c r="H272" i="1" s="1"/>
  <c r="H196" i="1" s="1"/>
  <c r="J798" i="1"/>
  <c r="J113" i="1"/>
  <c r="F113" i="1" s="1"/>
  <c r="H113" i="1" s="1"/>
  <c r="H81" i="1" s="1"/>
  <c r="E785" i="1"/>
  <c r="E871" i="1" s="1"/>
  <c r="I871" i="1"/>
  <c r="J785" i="1"/>
  <c r="H858" i="1"/>
  <c r="I537" i="1"/>
  <c r="I860" i="1"/>
  <c r="J625" i="1"/>
  <c r="E625" i="1"/>
  <c r="E860" i="1" s="1"/>
  <c r="J12" i="1"/>
  <c r="G12" i="1"/>
  <c r="G7" i="1" s="1"/>
  <c r="G829" i="1" s="1"/>
  <c r="G275" i="1"/>
  <c r="G843" i="1" s="1"/>
  <c r="I855" i="1"/>
  <c r="J521" i="1"/>
  <c r="E521" i="1"/>
  <c r="E855" i="1" s="1"/>
  <c r="J28" i="1"/>
  <c r="G28" i="1"/>
  <c r="G23" i="1" s="1"/>
  <c r="J40" i="1"/>
  <c r="G40" i="1"/>
  <c r="G35" i="1" s="1"/>
  <c r="F408" i="1"/>
  <c r="H408" i="1" s="1"/>
  <c r="H407" i="1"/>
  <c r="J299" i="1"/>
  <c r="F299" i="1" s="1"/>
  <c r="H299" i="1" s="1"/>
  <c r="H275" i="1" s="1"/>
  <c r="I581" i="1"/>
  <c r="H859" i="1"/>
  <c r="J869" i="1"/>
  <c r="K772" i="1"/>
  <c r="K869" i="1" s="1"/>
  <c r="G470" i="1"/>
  <c r="G435" i="1" s="1"/>
  <c r="G853" i="1" s="1"/>
  <c r="F471" i="1"/>
  <c r="H471" i="1" s="1"/>
  <c r="H435" i="1" s="1"/>
  <c r="K739" i="1" l="1"/>
  <c r="K866" i="1" s="1"/>
  <c r="E703" i="1"/>
  <c r="E865" i="1" s="1"/>
  <c r="E798" i="1"/>
  <c r="E873" i="1" s="1"/>
  <c r="I854" i="1"/>
  <c r="I302" i="1"/>
  <c r="I844" i="1" s="1"/>
  <c r="J494" i="1"/>
  <c r="K494" i="1" s="1"/>
  <c r="K854" i="1" s="1"/>
  <c r="H375" i="1"/>
  <c r="H852" i="1" s="1"/>
  <c r="I672" i="1"/>
  <c r="J672" i="1" s="1"/>
  <c r="I60" i="1"/>
  <c r="E60" i="1" s="1"/>
  <c r="E836" i="1" s="1"/>
  <c r="G832" i="1"/>
  <c r="I35" i="1"/>
  <c r="G830" i="1"/>
  <c r="G831" i="1"/>
  <c r="I23" i="1"/>
  <c r="H843" i="1"/>
  <c r="I275" i="1"/>
  <c r="H838" i="1"/>
  <c r="I81" i="1"/>
  <c r="J855" i="1"/>
  <c r="K521" i="1"/>
  <c r="K855" i="1" s="1"/>
  <c r="I858" i="1"/>
  <c r="J537" i="1"/>
  <c r="E537" i="1"/>
  <c r="E858" i="1" s="1"/>
  <c r="J870" i="1"/>
  <c r="K776" i="1"/>
  <c r="K870" i="1" s="1"/>
  <c r="J854" i="1"/>
  <c r="H842" i="1"/>
  <c r="I196" i="1"/>
  <c r="J871" i="1"/>
  <c r="K785" i="1"/>
  <c r="K871" i="1" s="1"/>
  <c r="J302" i="1"/>
  <c r="J865" i="1"/>
  <c r="K703" i="1"/>
  <c r="K865" i="1" s="1"/>
  <c r="I847" i="1"/>
  <c r="J329" i="1"/>
  <c r="E329" i="1"/>
  <c r="E847" i="1" s="1"/>
  <c r="I7" i="1"/>
  <c r="I861" i="1"/>
  <c r="E651" i="1"/>
  <c r="E861" i="1" s="1"/>
  <c r="J651" i="1"/>
  <c r="I859" i="1"/>
  <c r="J581" i="1"/>
  <c r="E581" i="1"/>
  <c r="E859" i="1" s="1"/>
  <c r="J860" i="1"/>
  <c r="K625" i="1"/>
  <c r="K860" i="1" s="1"/>
  <c r="J873" i="1"/>
  <c r="K798" i="1"/>
  <c r="K873" i="1" s="1"/>
  <c r="K814" i="1"/>
  <c r="K874" i="1" s="1"/>
  <c r="J874" i="1"/>
  <c r="H853" i="1"/>
  <c r="I435" i="1"/>
  <c r="I848" i="1"/>
  <c r="J357" i="1"/>
  <c r="E357" i="1"/>
  <c r="E848" i="1" s="1"/>
  <c r="H841" i="1"/>
  <c r="I118" i="1"/>
  <c r="E302" i="1" l="1"/>
  <c r="E844" i="1" s="1"/>
  <c r="E672" i="1"/>
  <c r="E862" i="1" s="1"/>
  <c r="I862" i="1"/>
  <c r="I375" i="1"/>
  <c r="I852" i="1" s="1"/>
  <c r="J60" i="1"/>
  <c r="K60" i="1" s="1"/>
  <c r="K836" i="1" s="1"/>
  <c r="I836" i="1"/>
  <c r="G877" i="1"/>
  <c r="H877" i="1"/>
  <c r="I841" i="1"/>
  <c r="J118" i="1"/>
  <c r="E118" i="1"/>
  <c r="E841" i="1" s="1"/>
  <c r="J862" i="1"/>
  <c r="K672" i="1"/>
  <c r="K862" i="1" s="1"/>
  <c r="I829" i="1"/>
  <c r="E7" i="1"/>
  <c r="E829" i="1" s="1"/>
  <c r="J7" i="1"/>
  <c r="K537" i="1"/>
  <c r="K858" i="1" s="1"/>
  <c r="J858" i="1"/>
  <c r="J861" i="1"/>
  <c r="K651" i="1"/>
  <c r="K861" i="1" s="1"/>
  <c r="I842" i="1"/>
  <c r="E196" i="1"/>
  <c r="E842" i="1" s="1"/>
  <c r="J196" i="1"/>
  <c r="I843" i="1"/>
  <c r="J275" i="1"/>
  <c r="E275" i="1"/>
  <c r="E843" i="1" s="1"/>
  <c r="K329" i="1"/>
  <c r="K847" i="1" s="1"/>
  <c r="J847" i="1"/>
  <c r="J844" i="1"/>
  <c r="K302" i="1"/>
  <c r="K844" i="1" s="1"/>
  <c r="I832" i="1"/>
  <c r="J35" i="1"/>
  <c r="E35" i="1"/>
  <c r="E832" i="1" s="1"/>
  <c r="I853" i="1"/>
  <c r="E435" i="1"/>
  <c r="E853" i="1" s="1"/>
  <c r="J435" i="1"/>
  <c r="J848" i="1"/>
  <c r="K357" i="1"/>
  <c r="K848" i="1" s="1"/>
  <c r="J859" i="1"/>
  <c r="K581" i="1"/>
  <c r="K859" i="1" s="1"/>
  <c r="I838" i="1"/>
  <c r="E81" i="1"/>
  <c r="E838" i="1" s="1"/>
  <c r="J81" i="1"/>
  <c r="I831" i="1"/>
  <c r="I830" i="1"/>
  <c r="J23" i="1"/>
  <c r="E23" i="1"/>
  <c r="H878" i="1" l="1"/>
  <c r="J836" i="1"/>
  <c r="E375" i="1"/>
  <c r="E852" i="1" s="1"/>
  <c r="J375" i="1"/>
  <c r="K375" i="1" s="1"/>
  <c r="K852" i="1" s="1"/>
  <c r="I878" i="1"/>
  <c r="J841" i="1"/>
  <c r="K118" i="1"/>
  <c r="K841" i="1" s="1"/>
  <c r="J830" i="1"/>
  <c r="J831" i="1"/>
  <c r="K23" i="1"/>
  <c r="J829" i="1"/>
  <c r="K7" i="1"/>
  <c r="K829" i="1" s="1"/>
  <c r="J853" i="1"/>
  <c r="K435" i="1"/>
  <c r="K853" i="1" s="1"/>
  <c r="J842" i="1"/>
  <c r="K196" i="1"/>
  <c r="K842" i="1" s="1"/>
  <c r="E831" i="1"/>
  <c r="E830" i="1"/>
  <c r="J838" i="1"/>
  <c r="K81" i="1"/>
  <c r="K838" i="1" s="1"/>
  <c r="J832" i="1"/>
  <c r="K35" i="1"/>
  <c r="K832" i="1" s="1"/>
  <c r="J843" i="1"/>
  <c r="K275" i="1"/>
  <c r="K843" i="1" s="1"/>
  <c r="J852" i="1" l="1"/>
  <c r="J878" i="1" s="1"/>
  <c r="K830" i="1"/>
  <c r="K831" i="1"/>
  <c r="K878" i="1" l="1"/>
</calcChain>
</file>

<file path=xl/sharedStrings.xml><?xml version="1.0" encoding="utf-8"?>
<sst xmlns="http://schemas.openxmlformats.org/spreadsheetml/2006/main" count="2279" uniqueCount="710">
  <si>
    <t>URS:</t>
  </si>
  <si>
    <t>krajinářské, terénní a zemní práce. Cenová úroveň 2021 / I. pololetí</t>
  </si>
  <si>
    <t>M.j.</t>
  </si>
  <si>
    <t>Jednotková</t>
  </si>
  <si>
    <t>Počet</t>
  </si>
  <si>
    <t>Náklady</t>
  </si>
  <si>
    <t>celkem</t>
  </si>
  <si>
    <t>Hmotnost</t>
  </si>
  <si>
    <t>v tunách</t>
  </si>
  <si>
    <t>Položka</t>
  </si>
  <si>
    <t>Zkrácený  popis</t>
  </si>
  <si>
    <t>cena</t>
  </si>
  <si>
    <t>m.j.</t>
  </si>
  <si>
    <t>Dodávka</t>
  </si>
  <si>
    <t>Montáž</t>
  </si>
  <si>
    <t>t/jedn.</t>
  </si>
  <si>
    <t>t</t>
  </si>
  <si>
    <t>2</t>
  </si>
  <si>
    <t>poznámka</t>
  </si>
  <si>
    <t>Celkem za část plochy</t>
  </si>
  <si>
    <t>cena /m2</t>
  </si>
  <si>
    <t>Počet /m.j.</t>
  </si>
  <si>
    <t>celkem dodávky, materiál</t>
  </si>
  <si>
    <t>celkem montáž, práce</t>
  </si>
  <si>
    <t>celkem bez DPH</t>
  </si>
  <si>
    <t>DPH 21%</t>
  </si>
  <si>
    <t>celkem včetně DPH</t>
  </si>
  <si>
    <t>Z. 1.1</t>
  </si>
  <si>
    <t>Kácení  201-300 postupné bez spouštění</t>
  </si>
  <si>
    <t>ks</t>
  </si>
  <si>
    <t>Kácení stromu bez postupného spouštění koruny a kmene D do 0,3 m</t>
  </si>
  <si>
    <t>kus</t>
  </si>
  <si>
    <t>R-položka</t>
  </si>
  <si>
    <t>řez akátů nátěr řezné plochy arboricidem</t>
  </si>
  <si>
    <t>materiál</t>
  </si>
  <si>
    <t>akáty - nátěr řezné plochy arboricidem</t>
  </si>
  <si>
    <t>l</t>
  </si>
  <si>
    <t>Odstranění pařezů D do 0,3 m v rovině a svahu 1:5 s odklizením do 20 m a zasypáním jámy</t>
  </si>
  <si>
    <t>Odvoz a likvidace opadu</t>
  </si>
  <si>
    <t>m3</t>
  </si>
  <si>
    <t>Invent. číslo</t>
  </si>
  <si>
    <t>Druh</t>
  </si>
  <si>
    <t>Průměr kmene I.</t>
  </si>
  <si>
    <t>Obvod kmene I.</t>
  </si>
  <si>
    <t>Fyziol. stáří</t>
  </si>
  <si>
    <t>Vitalita</t>
  </si>
  <si>
    <t>Stabilita</t>
  </si>
  <si>
    <t>Zdravotni stav</t>
  </si>
  <si>
    <t>Provozní bezpečnost</t>
  </si>
  <si>
    <t>Perspektiva</t>
  </si>
  <si>
    <t>Sad hod</t>
  </si>
  <si>
    <t>Robinia pseudoacacia</t>
  </si>
  <si>
    <t>D</t>
  </si>
  <si>
    <t>B</t>
  </si>
  <si>
    <t>C</t>
  </si>
  <si>
    <t>Kácení  301-400 postupné bez spouštění</t>
  </si>
  <si>
    <t>Kácení stromu bez postupného spouštění koruny a kmene D do 0,4 m</t>
  </si>
  <si>
    <t>arboricid</t>
  </si>
  <si>
    <t>Odstranění pařezů D do 0,4 m v rovině a svahu 1:5 s odklizením do 20 m a zasypáním jámy</t>
  </si>
  <si>
    <t>A</t>
  </si>
  <si>
    <t>Kácení  401-500 postupné bez spouštění</t>
  </si>
  <si>
    <t>Kácení stromu bez postupného spouštění koruny a kmene D do 0,5 m</t>
  </si>
  <si>
    <t>Odstranění pařezů D do 0,5 m v rovině a svahu 1:5 s odklizením do 20 m a zasypáním jámy</t>
  </si>
  <si>
    <t>Z.1.2</t>
  </si>
  <si>
    <t>Odstranění nevhodných dřevin do 1,5 m</t>
  </si>
  <si>
    <t>Odstranění nevhodných dřevin do 100 m2 v přes 1 m s odstraněním pařezů v rovině nebo svahu do 1:5</t>
  </si>
  <si>
    <t>m2</t>
  </si>
  <si>
    <t>Taxon</t>
  </si>
  <si>
    <t>Výška</t>
  </si>
  <si>
    <t>Sadovnicka hodnota</t>
  </si>
  <si>
    <t>pokryvnost</t>
  </si>
  <si>
    <t>odpad m3</t>
  </si>
  <si>
    <t>Syringa vulgaris</t>
  </si>
  <si>
    <t>Taxus baccata (ze skupiny č. 53)</t>
  </si>
  <si>
    <t>Buxus sempervirens</t>
  </si>
  <si>
    <t>m2 a m3 celkem</t>
  </si>
  <si>
    <t>Z.2.2</t>
  </si>
  <si>
    <t>Plocha m2</t>
  </si>
  <si>
    <t>KS</t>
  </si>
  <si>
    <t>cílem je u keřů podhledovost, která se v následných letech upravuje v průběhu celého roku</t>
  </si>
  <si>
    <t>nelze využít mechanizaci - plotostřih</t>
  </si>
  <si>
    <t>Řez je veden s ohledem na  habitus  koruny. Ponechány jsou hlavní větve,  spodní obrost je odstraněn cca do výšky 1,2 - 1,5 m, výsledkem bude solitér vyvětvený odspodu. Ke každému keři je nutný individuální přístup, předchozí konzultace a následné převzetí  na kontrolním dni s AD.</t>
  </si>
  <si>
    <t>Taxus baccata - odstranění hlavní větve v  cestě</t>
  </si>
  <si>
    <t>Řez keřů netrnitých průklestem D koruny přes 3 do 5 m</t>
  </si>
  <si>
    <t>Stávající listnaté keře (výška do 2m) v 0. fázi se již staly solitery, koruna byl vykmeněna - takže je třeba opakovat - odstranění obrostů a úprava vykmenění koruny</t>
  </si>
  <si>
    <t>Řez keřů netrnitých průklestem D koruny přes 1,5 do 3 m</t>
  </si>
  <si>
    <t>Péče o přesazené keře v průběhu roku</t>
  </si>
  <si>
    <t>voda  75 l / ks, v průběhu sezóny zálivka 2x (jaro  a přísušky)</t>
  </si>
  <si>
    <t>Zalití rostlin vodou plocha do 20 m2</t>
  </si>
  <si>
    <t>Vypletí záhonu dřevin soliterních s naložením a odvozem odpadu do 20 km v rovině a svahu do 1:5 1x</t>
  </si>
  <si>
    <t>odpad</t>
  </si>
  <si>
    <t>odpad po pletí, likvidace, odvoz</t>
  </si>
  <si>
    <t>řez pro udržní podhledovosti keřů - odstranění výmladků, výhonů, přepadajících větví - vylehčení koruny odstraněním bočních větví - např., úprava koruny, individuální přístup ke každé dřevině, nelze využít mechanizaci - plotostřih. Řez je veden z vnitřní části keře. cena je stanovena na keř a rok, jedná se vždy o několik minut práce, ale je nutné se k této činnosti vracet</t>
  </si>
  <si>
    <t>Odvoz a likvidace opadu po řezu</t>
  </si>
  <si>
    <t>Ruční přesun hmot pro sadovnické a krajinářské úpravy do 100 m</t>
  </si>
  <si>
    <t>Z.2.3</t>
  </si>
  <si>
    <t>Řez byl veden s ohledem na  habitus  koruny. Ponechány hlavní větve,  spodní obrost je odstraněn cca do výšky 1,2 - 1,5 m, výsledkem je solitér vyvětvený odspodu. Ke každému keři je nutný individuální přístup, předchozí konzultace a následné převzetí  na kontrolním dni s AD. vhodné je řez rozdělit -hlavní redukci před výsadbou,  po výsadbě provést "opravný" řez. Termín prací ve vegetačním klidu, nejlépe předjaří, pro přeasdby i podzim. Nutná následná důkladná péče, přihnojení  a zálivka.</t>
  </si>
  <si>
    <t xml:space="preserve">PŘESAZENÍ (KS)  </t>
  </si>
  <si>
    <t>Taxus baccata</t>
  </si>
  <si>
    <t>prolití pře vyjmutím 200L/ks</t>
  </si>
  <si>
    <t>Zalití rostlin vodou plocha do 20 m2 200l</t>
  </si>
  <si>
    <t>Vyzvednutí dřeviny k přesazení s balem D do 0,4 m v rovině a svahu do 1:5</t>
  </si>
  <si>
    <t>koš - z rezavějícího materiálu, juta, vázací materiál</t>
  </si>
  <si>
    <t>80kg, průměr 40cm balu</t>
  </si>
  <si>
    <t>rovina, jáma 1,5 násobek balu</t>
  </si>
  <si>
    <t>Vytyčení keřů</t>
  </si>
  <si>
    <t>Jamky pro výsadbu s výměnou 50 % půdy zeminy tř 1 až 4 objem do 0,4 m3 v rovině a svahu do 1:5</t>
  </si>
  <si>
    <t>odstraněná zemina = mísa</t>
  </si>
  <si>
    <t>Substrát stromový= 50% ; jamka - bal   + 15% ztratné a hutnění  Dodavatel předloží s dostatečným předstihem vzorek substrátu k odsouhlasení AD. Složení: 40% štěrk 32/64, 10% kompost (10% hunmusu), 50% místní zemina (ev. písčitá ornice, pokud nebude místní   z jam použitelná).</t>
  </si>
  <si>
    <t>Výsadba dřeviny s balem D do 0,4 m do jamky se zalitím v rovině a svahu do 1:5</t>
  </si>
  <si>
    <t>Tabletové zásobní hnojivo viz TZ</t>
  </si>
  <si>
    <t>kůl</t>
  </si>
  <si>
    <t>Ukotvení kmene dřevin jedním kůlem D do 0,1 m délky do 2 m</t>
  </si>
  <si>
    <t>Zhotovení závlahové mísy dřevin D přes 1,0 m v rovině nebo na svahu do 1:5</t>
  </si>
  <si>
    <t>Mulčování rostlin kůrou tl. do 0,1 m v rovině a svahu do 1:5</t>
  </si>
  <si>
    <t>Jemná kůra 0-5mm, ztratné ulehnutí 15%, vrstva  10cm</t>
  </si>
  <si>
    <t>Zalití rostlin vodou plocha do 20 m2 75l</t>
  </si>
  <si>
    <t>voda  75 l / ks, v průběhu sezóny zálivka 12x (jaro + léto a podzimní dávka a jehličnanů je třeba zalít i v průběhu zimy)</t>
  </si>
  <si>
    <t>Vypletí záhonu dřevin soliterních s naložením a odvozem odpadu do 20 km v rovině a svahu do 1:5 3x</t>
  </si>
  <si>
    <t>Řez keřů netrnitých průklestem D koruny do 3,0 m</t>
  </si>
  <si>
    <t>celkem za část plochy</t>
  </si>
  <si>
    <t>počet /m.j.</t>
  </si>
  <si>
    <t>Z 3.1.1</t>
  </si>
  <si>
    <t>Výsadba stromu ve vegetačním povrchu</t>
  </si>
  <si>
    <t>VK, ok 12-14-16, bal</t>
  </si>
  <si>
    <t>GYM DIO_Gymnocladus dioicus_nahovětvec dvoudomý– 3 ks, 12-14</t>
  </si>
  <si>
    <t xml:space="preserve"> 12-14</t>
  </si>
  <si>
    <t>QUE BIC_ Quercus bicolor_dub dvoubarevný – VK neroubovaný, ok 12-14, bal – 2 ks</t>
  </si>
  <si>
    <t>14-16</t>
  </si>
  <si>
    <t>QUE MRP_ Quercus macrocarpa_dub velkoplodý – VK neroubovaný ok 14-16, bal  2 ks</t>
  </si>
  <si>
    <t>QUE MCT_ Quercus macranthea_dub velkokvětý – VK neroubovaný ok 14-16, bal 2 ks</t>
  </si>
  <si>
    <t>12-14, průměr 40-50 balu, výška balu 40-50, objem  bal 0,025m3</t>
  </si>
  <si>
    <t>Řez stromu výchovný alejových stromů v přes 4 do 6 m</t>
  </si>
  <si>
    <t>Vytyčení stromů</t>
  </si>
  <si>
    <t>Jamky pro výsadbu s výměnou 100 % půdy zeminy tř 1 až 4 obj přes 0,05 do 0,125 m3 v rovině a svahu do 1:5</t>
  </si>
  <si>
    <t>odstraněná zemina 85L - odvoz a likvidace odpadu (část ponechat na zhotovení mísy 35L</t>
  </si>
  <si>
    <t>stromový substrát do vegetačního povrchu - 40% ostrohranný štěrk 32/64, 10% kompost (10% humusu), 50% místní zemina (místní deoponovaná ornice).</t>
  </si>
  <si>
    <t>Tabletové hnojivo SF 60, 10 g/ks, 5ks/ strom</t>
  </si>
  <si>
    <t>Hnojení půdy umělým hnojivem k jednotlivým rostlinám v rovině a svahu do 1:5</t>
  </si>
  <si>
    <t>Výsadba dřeviny s balem D přes 0,4 do 0,5 m do jamky se zalitím v rovině a svahu do 1:5</t>
  </si>
  <si>
    <t>původní zemina část  použití pro mísu 35L/ks</t>
  </si>
  <si>
    <t>kůly 3ks, úvazky 3ks, příčky 12 ks ("vochcávka" 3x3 příčky dole)</t>
  </si>
  <si>
    <t>zhotovení "vochcávky" -spodní  ochrana kmene</t>
  </si>
  <si>
    <t>Ukotvení kmene dřevin třemi kůly D do 0,1 m délky do 3 m</t>
  </si>
  <si>
    <t>Zalití rostlin vodou plocha do 20 m2</t>
  </si>
  <si>
    <t>Nátěr kmenů Arboflex včetně mateiálu</t>
  </si>
  <si>
    <t>Mulč  10cm</t>
  </si>
  <si>
    <t>VK, ok 16-18-20, bal</t>
  </si>
  <si>
    <t>18-20</t>
  </si>
  <si>
    <t>QUE CER_ Quercus cerris_dub cerový– VK ok 18-20, bal -3 ks</t>
  </si>
  <si>
    <t>ACE SACH_ Acer sacharinum_javor stříbrný– VK ok 18-20, bal– 6 ks</t>
  </si>
  <si>
    <t>ULM LEA_ Ulmus leavis_jilm vaz– VK ok 18-20, bal– 5 ks</t>
  </si>
  <si>
    <t>GLE TRI_Gleditsia triacanthos_dřezovec trojtrný– VK ok 18-20, bal– 5 ks</t>
  </si>
  <si>
    <t>16-18</t>
  </si>
  <si>
    <t>SOP JAP_Sophora japonica_jerlín japonský– 4 ks 16-18</t>
  </si>
  <si>
    <t>18-20, průměr 60-70 balu, výška balu 40-50, objem  bal 0,1m3</t>
  </si>
  <si>
    <t>Jamky pro výsadbu s výměnou 100 % půdy zeminy tř 1 až 4 obj přes 0,125 do 0,4 m3 v rovině a svahu do 1:5</t>
  </si>
  <si>
    <t>odstraněná zemina 244L - odvoz a likvidace odpadu (část ponechat na zhotovení mísy 66L</t>
  </si>
  <si>
    <t>ochrana dřeviny při výsadbě - zakryti  při stavbě před vyschnutím zvlhčovanou textilií do realizace navazujících  technologií.</t>
  </si>
  <si>
    <t>Výsadba dřeviny s balem D do 0,8 m do jamky se zalitím v rovině a svahu do 1:5</t>
  </si>
  <si>
    <t>původní zemina část  použití pro mísu 66L/ks</t>
  </si>
  <si>
    <t>VK, ok 20-25, bal</t>
  </si>
  <si>
    <t>20-25</t>
  </si>
  <si>
    <t>PLA ACE_ Platanus × acerifolia_platan javoroslistý – VK ok 20-25, bal – 5 ks</t>
  </si>
  <si>
    <t>CAS SAT_Castanea sativa_kaštanovník jedlý – VK ok 20-25, bal– 6 ks</t>
  </si>
  <si>
    <t>PRU PLE_ Prunus avium Plena_třešeň ptačí– VK ok 20-25, bal– 5 ks</t>
  </si>
  <si>
    <t>20-25, kg, průměr 60-70 balu, výška balu 40-50,  bal 0,1m3</t>
  </si>
  <si>
    <t>Z 3.1.2</t>
  </si>
  <si>
    <t>Výsadba stromu v mlatu</t>
  </si>
  <si>
    <t>VK, ok 18-20, bal</t>
  </si>
  <si>
    <t>QUE CER_ Quercus cerris_dub cerový– VK ok 18-20, bal – 2 ks</t>
  </si>
  <si>
    <t>QUE MCT_ Quercus macranthea_dub velkokvětý – VK neroubovaný ok 14-16, bal – 2 ks</t>
  </si>
  <si>
    <t xml:space="preserve"> kari sít  oka 100x100x6mm o rozměrech 2x2 m s úvazky jako podklad pro zemní kotvy stromového balu. Síť KARI 6/10/2,4x6m  3 ks z 1, cena včetně dělení a instalace</t>
  </si>
  <si>
    <t>úvazek za kari síť 3ks / strom (popruh cca 3x 4m /ks , popruh s ráčnou)</t>
  </si>
  <si>
    <t xml:space="preserve"> stromový substrát do mlatu- jemný štěrkový substrát (70 % ostrohranný štěrk fr. 4/8, 20 % organický kompost fr. 0-10 mm, 10 % biouhel fr. 0-10 mm)  </t>
  </si>
  <si>
    <t>Podzemní ukotvení kmene dřevin do volné zeminy tř. 1 až 4 obvodu kmene do 250 mm</t>
  </si>
  <si>
    <t>GLE TRI_ Gleditsia triacanthos_dřezovec trojtrný – VK ok 20-25, bal - 4 ks</t>
  </si>
  <si>
    <t>20-25, 250 kg, průměr 60-70 balu, výška balu 40-50,  bal 0,1m3</t>
  </si>
  <si>
    <t>odstraněná zemina 244L - odvoz a likvidace odpadu</t>
  </si>
  <si>
    <t>Podzemní ukotvení kmene dřevin do volné zeminy tř. 1 až 4 obvodu kmene přes 250 do 400 mm</t>
  </si>
  <si>
    <t>plocha</t>
  </si>
  <si>
    <t>VK, ok 25-30, bal</t>
  </si>
  <si>
    <t>Formální mlat J a Z  - 4 ks</t>
  </si>
  <si>
    <t>25-30</t>
  </si>
  <si>
    <t>PLA ACE_ Platanus × acerifolia_platan javoroslistý – VK ok 25-30, bal - 2 ks</t>
  </si>
  <si>
    <t>PRU PLE_ Prunus avium Plena_třešeň ptačí– VK ok 25-30, bal - 4 ks</t>
  </si>
  <si>
    <t>úvazek za kari síť 3ks / strom (popruh cca 3x 5m /ks , popruh s ráčnou)</t>
  </si>
  <si>
    <t>25-30, průměr 80 balu, výška balu 50-60, objem 0,168m3  bal 0,1m3</t>
  </si>
  <si>
    <t>rovina, jáma</t>
  </si>
  <si>
    <t>Jamky pro výsadbu s výměnou 100 % půdy zeminy tř 1 až 4 obj přes 0,4 do 1 m3 v rovině a svahu do 1:5</t>
  </si>
  <si>
    <t>odstraněná zemina 1130L - odvoz a likvidace odpadu</t>
  </si>
  <si>
    <t>Výsadba dřeviny s balem D do 1 m do jamky se zalitím v rovině a svahu do 1:5</t>
  </si>
  <si>
    <t>"vochcávka" - ochrana dolní části  kmene před psí močí, mechanickým poškozením,…</t>
  </si>
  <si>
    <t>plech 0,6/1x2  (lze vyrobit 4 ks) 2m3</t>
  </si>
  <si>
    <t>trny 550mm kotveno na ocelové trny Ø10 mm, dl. 550 mm, přivařeno 6ks/strom</t>
  </si>
  <si>
    <t>límec ze dvou polovin, dělění materiálu, vaření trnů, spojovací materiál, instalace</t>
  </si>
  <si>
    <t>Z 3.1.3</t>
  </si>
  <si>
    <t>Výsadba alejového stromu do severní štěrkové rýhy</t>
  </si>
  <si>
    <t>ULM TRI_jilm Triumph_Ulmus X Triumph_VK ok 18-20, bal Ulmus 'Morton Glossy'</t>
  </si>
  <si>
    <t>Příprava stanoviště - výsadba provedena po dokončení kladení strukturálního substrátu z přípravy stanoviště (součást jiné techn. VU Z.3.5.1). Na dno jámy bude ještě předem uložena kari sít 100x100x6mm o rozměrech 1x2 m s úvazky jako podklad pro zemní kotvy stromového balu. Úvazky budou vytaženy nad vrstvu strukturálního substrátu.</t>
  </si>
  <si>
    <t xml:space="preserve"> kari sít  oka 100x100x6mm o rozměrech 1 (1,2)x2 m s úvazky jako podklad pro zemní kotvy stromového balu. Síť KARI 6/10/2,4x6m  6 ks z 1, cena včetně dělení a instalace</t>
  </si>
  <si>
    <t>Výsadba –  stromový bal bude usazen na podkladní vrstvu strukturálního substrátu. Přesná poloha schválena AD tak, aby i po uložení horních vrstev byl kořenový krček v úrovni požadovaného terénu, v případě nutnosti ještě podsyp či vyhloubení strukturálního substrátu.  Vyhnojení tabletovým hnojivem (5ks/dřevina). Upevnění zemní kotvy. Na strukturální substrát v celé rýze i kolem balu bude rozprostřena 50 mm separační vrstva ostrohranného štěrku fr. 8/16 (součást jiné techn. VU Z.3.5.1). Bal bude výše obsypán externě míchaným stromovým substrátem do rýhy- jemný štěrkový substrát /70 % ostrohranný štěrk fr. 4/8, 20 % organický kompost fr. 0-10 mm, 10 % biouhel fr. 0-10 mm, + rohovina/ (součást jiné techn. VU Z.3.5.1).  Hutněno po vrstvách.</t>
  </si>
  <si>
    <t xml:space="preserve">Následuje terénní modelace povrchu rýhy (součást jiné techn. VU Z.3.5.1) a navazující  výsadba záhonu s příslušným mulčem (součást jiné techn. VU Z 3.3.4 - založení podrostového záhonu obvodového prstence na severní štěrkové rýze HDV).   </t>
  </si>
  <si>
    <t>Z. 3. 5. 1</t>
  </si>
  <si>
    <t>strukturální substrát již v rýze 40cm, jamkase nehloubí v místě výdsadby je ponechán prostor pro strom, zemina(jemný se bude doplnovat</t>
  </si>
  <si>
    <t>štěrk 8/16 5cm podsyp pod strom</t>
  </si>
  <si>
    <t>jemný štěrkový substrát - zásyp stromu</t>
  </si>
  <si>
    <t>Z 3.1.4</t>
  </si>
  <si>
    <t xml:space="preserve"> Výsadba stromu na vyvýšenině zaplavovaného záhonu  </t>
  </si>
  <si>
    <t xml:space="preserve"> kari sít  oka 100x100x6mm o rozměrech 2x2 m s úvazky jako podklad pro zemní kotvy stromového balu. Síť KARI 6/10/2,4x6m  6 ks z 1, cena včetně dělení a instalace</t>
  </si>
  <si>
    <t>Výsadba –  stromový bal bude usazen na horní vrstvu HDV konstrukce: 150 mm průleh (ornice K=5,0.10-5/ m.s-1)  (součást jiné techn. HDV xy).  Přesná poloha schválena AD tak, aby i po uložení horních vrstev byl kořenový krček v úrovni požadovaného terénu, v případě nutnosti ještě podsyp či vyhloubení HDV substrátu.  Vyhnojení tabletovým hnojivem (5ks/dřevina). Upevnění zemní kotvy.</t>
  </si>
  <si>
    <t xml:space="preserve">Bal bude obsypán vegetačním substrátem bultů (33,3 % hlinitá zemina vazná s vyšším podílem jílu, 33,3 % kamenivo fr. 8-16,  33,3 % humusový kompost) a následně bude vymodelován terén bultu s potahem juty a výsadbou rostlin (součást jiné techn. VU Z.3.3.2).  </t>
  </si>
  <si>
    <t>Z.3.2</t>
  </si>
  <si>
    <t>Z.3.2  NOVÉ KEŘOVÉ PATRO</t>
  </si>
  <si>
    <t xml:space="preserve">Z.3.2.1  </t>
  </si>
  <si>
    <t xml:space="preserve"> Výsadba keře s balem, vysokokmene  ve vegetačním podrostu   </t>
  </si>
  <si>
    <t>keře 100-125 s podrostem</t>
  </si>
  <si>
    <t>100-125</t>
  </si>
  <si>
    <t>cor mas_Cornus mas_dřín, v 100-120, bal - 20 ks</t>
  </si>
  <si>
    <t>ame vul_Amelanchier vulgaris_muchovník, v 100-120, bal – 22 ks</t>
  </si>
  <si>
    <t>200-250</t>
  </si>
  <si>
    <t>Vytyčení výsadeb</t>
  </si>
  <si>
    <t>Příprava stanoviště - výsadba keřů bude provedena po dokončení přípravy stanoviště technologií VU Z 3.3. a Z 3.4. Vyhloubení čtvercové jámy v místech schválených AD, hrana jámy je min. 1,5 násobek Ø balu.</t>
  </si>
  <si>
    <t xml:space="preserve">100-125 15 kg, průměr 30cm balu, výška balu 30cm, objem 0,015m3  </t>
  </si>
  <si>
    <t>200-250 bal š60-70, v40-50, objem balu 0,14 m3, jáma 0,28m3</t>
  </si>
  <si>
    <t>stromový substrát do vegetačního povrchu: 40% ostrohranný štěrk 32/64, 10% kompost (10% humusu), 50% místní zemina (místní deoponovaná ornice).</t>
  </si>
  <si>
    <t>Řez stromu výchovný špičáků a keřových stromů v do 4 m</t>
  </si>
  <si>
    <t>Zpětný řez netrnitých keřů po výsadbě v přes 1 m</t>
  </si>
  <si>
    <t>odstraněná zemina - část použita na tvorbu zálivkové mísy</t>
  </si>
  <si>
    <t>Jamky pro výsadbu s výměnou 100 % půdy zeminy tř 1 až 4 obj přes 0,02 do 0,05 m3 v rovině a svahu do 1:5</t>
  </si>
  <si>
    <t>kůl 1ks, úvazek</t>
  </si>
  <si>
    <t>Ukotvení kmene dřevin jedním kůlem D do 0,1 m dl přes 2 do 3 m</t>
  </si>
  <si>
    <t>Zhotovení závlahové mísy dřevin D do 1,0 m v rovině nebo na svahu do 1:5</t>
  </si>
  <si>
    <t>Případný mulč bude součástí navazující technologie Z 3.4.  (seté plochy) tzn kůra</t>
  </si>
  <si>
    <t>Mulčování vysazených rostlin do 100mm, v rovině, vrstva 5cm</t>
  </si>
  <si>
    <t>Z.3.2.2</t>
  </si>
  <si>
    <t>Výsadba keře do severní štěrkové rýhy</t>
  </si>
  <si>
    <t>Příprava stanoviště – výsadba keře provedena po dokončení kladení strukturálního substrátu a separační vrstva ostrohranného štěrku fr. 8/16 z přípravy stanoviště (součást jiné techn. VU Z.3.5.1).</t>
  </si>
  <si>
    <t>Hloubení jamek bez výměny půdy zeminy tř 1 až 4 obj přes 0,02 do 0,05 m3 v rovině a svahu do 1:5</t>
  </si>
  <si>
    <t>Výsadba –  keřový  bal bude usazen na spodní vrstvu stromového substrátu do rýhy- jemný štěrkový substrát /70 % ostrohranný štěrk fr. 4/8, 20 % organický kompost fr. 0-10 mm, 10 % biouhel fr. 0-10 mm, + rohovina/ (součást jiné techn. VU Z.3.5.1). Přesná poloha schválena AD tak, aby i po uložení horních vrstev byl kořenový krček v úrovni požadovaného terénu, v případě nutnosti ještě podsyp či vyhloubení substrátu.  Vyhnojení tabletovým hnojivem (3ks/dřevina).</t>
  </si>
  <si>
    <t> Z.3.3</t>
  </si>
  <si>
    <t>Bylinné patro sázené</t>
  </si>
  <si>
    <t>Z.3.3.1</t>
  </si>
  <si>
    <t>Založení podrostového záhonu obvodového prstence</t>
  </si>
  <si>
    <r>
      <t>m</t>
    </r>
    <r>
      <rPr>
        <vertAlign val="superscript"/>
        <sz val="10"/>
        <color theme="1"/>
        <rFont val="Arial Narrow"/>
        <family val="2"/>
        <charset val="238"/>
      </rPr>
      <t>2</t>
    </r>
  </si>
  <si>
    <t>z toho pokryvných trvalek 9ks/m2</t>
  </si>
  <si>
    <t>z toho pokryvných trvalek  K9</t>
  </si>
  <si>
    <t>z toho pokryvných trvalek  2 l</t>
  </si>
  <si>
    <t>z toho cibulovin</t>
  </si>
  <si>
    <t>z toho cibulovin velkých</t>
  </si>
  <si>
    <t>z toho cibulovin drobných</t>
  </si>
  <si>
    <t>Vytyčení výsadeb - rozmístění rostlin</t>
  </si>
  <si>
    <t>Chemické odplevelení před založením kultury nad 20 m2 postřikem na široko v rovině a svahu do 1:5, 2x, cca 25% plochy</t>
  </si>
  <si>
    <t>Herbicid totální</t>
  </si>
  <si>
    <t>Příprava stanoviště - odstranění organické hmoty, narušení podkladu rotavátorem. cNavezení drceného kameniva fr 4/8 mm ve vrstvě tl. 50 mm, zapravení rotavátorem, navezení substrátu F (viz Specifikace použitých materiálů) ve vrstvě tl. 50 mm, zapravení rotavátorem. Celková mocnost zkypřeného souvrství je 150 mm. V případě přítomnosti kořenových náběhů je nutná ruční kultivace. Instalace obruby záhonů z ocelové pásoviny (5x100 mm, kotveno roxorovými tyčemi ∅ 12 mm, dl. 700 mm, po cca 0,8 m).</t>
  </si>
  <si>
    <t>Odstranění organických zbytků</t>
  </si>
  <si>
    <t>Odstranění stařiny do 500 m2 s naložením a odvozem do 20 km v rovině nebo svahu do 1:5</t>
  </si>
  <si>
    <t>Odvoz a likvidace odpadu - drn+ stařina</t>
  </si>
  <si>
    <t>Obdělání půdy frézováním v rovině a svahu do 1:5</t>
  </si>
  <si>
    <t>Drceného kameniva fr 4/8 mm v poměru 1:1 ve vrstvě tl. 50 mm</t>
  </si>
  <si>
    <t>Rozprostření ornice tl vrstvy do 200 mm pl přes 500 m2 v rovině nebo ve svahu do 1:5 strojně</t>
  </si>
  <si>
    <t>Obdělání půdy kultivátorováním, v rovině, 4x Zapravení směsi do nakypřené místní zemniny. Celková mocnost zkypřeného souvrství bude 150 mm.</t>
  </si>
  <si>
    <t>substrát F</t>
  </si>
  <si>
    <t>okolí kořenů pouze ruční kultivace s následným převrstvením určené směsi na cílovou mocnost 150 mm. Obdělání půdy nakopáním na hloubku do 0,1 m v rovině a svahu do 1:5; 20% plochy - dle skutečné výměry</t>
  </si>
  <si>
    <t>Obdělání půdy hrabáním v rovině a svahu do 1:5</t>
  </si>
  <si>
    <t>modelace terénu zvýšení o cca 15cm</t>
  </si>
  <si>
    <t>lokální modelace terénu v daném segmentu ručně (pod stromy)</t>
  </si>
  <si>
    <t>lokální modelace terénu v daném segmentu strojně</t>
  </si>
  <si>
    <t>Instalace obruby záhonů z ocelové pásoviny (5x100 mm, kotveno roxorovými tyčemi ∅ 12 mm, dl. 700 mm, po cca 0,8 m).</t>
  </si>
  <si>
    <t>bm</t>
  </si>
  <si>
    <t>ocelová pasovina v 120 mm – 100bm</t>
  </si>
  <si>
    <t>ocel kruhová pr.10mm 60 ks začpičatělé, dl. 600 mm</t>
  </si>
  <si>
    <t xml:space="preserve">zhotovení a instalace  </t>
  </si>
  <si>
    <t>Hloubení jamek bez výměny půdy zeminy tř 1 až 4 objem do 0,002 m3 v rovině a svahu do 1:5 (K9)</t>
  </si>
  <si>
    <t>Výsadba květin krytokořenných průměru kontejneru do 120 mm (K9)</t>
  </si>
  <si>
    <t>Hloubení jamek bez výměny půdy zeminy tř 1 až 4 objem do 0,005 m3 v rovině a svahu do 1:5 (2L)</t>
  </si>
  <si>
    <t>Výsadba květin krytokořenných průměru kontejneru do 250 mm</t>
  </si>
  <si>
    <t>Tabletové hnojivo SF 60, 10 g/ks, 1ks</t>
  </si>
  <si>
    <t>Moření : 40 ml na 1 l vody (4% roztok) po dobu 6-12 hodin.</t>
  </si>
  <si>
    <t>hod</t>
  </si>
  <si>
    <t>cca 10l roztoku /50ks větších cibulovin, 200ks menších  nelze použít opakovaně (dávky po 10L), pracnost cca 15 minut/ dávku</t>
  </si>
  <si>
    <t>dávek</t>
  </si>
  <si>
    <t>fungicid např: Sulka extra</t>
  </si>
  <si>
    <t>Výsadba cibulí nebo hlíz</t>
  </si>
  <si>
    <t xml:space="preserve">Hloubení jamek bez výměny půdy zeminy tř 1 až 4 objem do 0,002 m3 v rovině a svahu do 1:5  </t>
  </si>
  <si>
    <t>Jemná kůra 0-5mm,  vrstva  5cm  ulehnutí 10%</t>
  </si>
  <si>
    <t>zásyp moréna: 33,3% drcené kamenivo fr 4/8 mm, 33,3% drcené kamenivo fr 8/16 mm, 33,3% drcené kamenivo fr 16/32 mm - na severní hraně (ztratné 10%)</t>
  </si>
  <si>
    <t>Mulčování záhonů kačírkem tl vrstvy přes 0,05 do 0,1 m v rovině a svahu do 1:5</t>
  </si>
  <si>
    <t>Zalití rostlin vodou plocha přes 20 m2</t>
  </si>
  <si>
    <t>Ošetření vysazených květin v rovině a svahu do 1:5</t>
  </si>
  <si>
    <t>odvoz a likvidace odpadu po ošetření</t>
  </si>
  <si>
    <t>Instalace dočasného ochranného oplocení – černě natřené hrocené roxorové tyče dl. 1,2 m, Ø 8 mm, zaraženy do země 0,6 m po 1,2 m s navázaným černým provazem ve výšce 0,55 m.</t>
  </si>
  <si>
    <t>tyč počet  po 1,2 m</t>
  </si>
  <si>
    <t>dělení, hrot, nátěr, barva, ohyb</t>
  </si>
  <si>
    <t>D 8mm, tyč 6m = 5ks 1,2</t>
  </si>
  <si>
    <t>provaz prořez vázání 5%</t>
  </si>
  <si>
    <t>instalace, vázání v 55cm, zatloukání do hl 60cm</t>
  </si>
  <si>
    <t>tyče lze použít opakovaně, provaz má tendenci mizet :)</t>
  </si>
  <si>
    <t>Z 3.3.2</t>
  </si>
  <si>
    <t>Založení periodicky zaplavovaného záhonu</t>
  </si>
  <si>
    <t>Popis: Záhon s povrchovou modelací prohlubní a vyvýšenin na průlehu HDV je inspirovaný přirozenými procesy periodicky zaplavovaných biotopů v terénu lužních krajin.</t>
  </si>
  <si>
    <t>geodetické zaměření bultů</t>
  </si>
  <si>
    <t xml:space="preserve">souběžně probíhá: výsadba stromu provedena po dokončení spodních konstrukcí průlehu HDV (součástí jiné části dokumentace HDV xy). Na dno jámy bude ještě předem uložena kari síť 100x100x6mm o rozměrech 2x2 s úvazky jako podklad pro zemní kotvy stromového balu. Úvazky budou vytaženy nad HDV vrstvy. Samotné zhotovení bultů je jiná technologie VU Z.3.3.2 - založení periodicky zaplavovaného záhonu výsadbou. Obě technologie VU probíhají současně.  </t>
  </si>
  <si>
    <t>Vegetační substrát složený z: 33,3 % hlinité zeminy vazné s vyšším podílem jílu, 33,3 % drceného kameniva fr. 8/16 mm a 33,3 % humusového kompostu fr 0/10 mm, ztratné , zhutnění 10%</t>
  </si>
  <si>
    <t>Minimální mocnost vrstvy substrátu na dně sníženin je 150 mm</t>
  </si>
  <si>
    <t>Rozprostření ornice tl vrstvy do 200 mm pl přes 100 do 500 m2 v rovině nebo ve svahu do 1:5 strojně</t>
  </si>
  <si>
    <r>
      <t>m</t>
    </r>
    <r>
      <rPr>
        <vertAlign val="superscript"/>
        <sz val="10"/>
        <color theme="1"/>
        <rFont val="Arial Narrow"/>
        <family val="2"/>
        <charset val="238"/>
      </rPr>
      <t>2m2m2</t>
    </r>
  </si>
  <si>
    <t xml:space="preserve"> Ve středu vyvýšeniny dosahuje vrstva mocnosti cca 550 mm, sklon svahů vyvýšeniny je cca 1:2.</t>
  </si>
  <si>
    <t>Uložení sypaniny z hornin soudržných do násypů zhutněných ručně</t>
  </si>
  <si>
    <t>Uložení sypaniny z hornin soudržných do násypů zhutněných strojně</t>
  </si>
  <si>
    <t>Hutnění boků násypů pro jakýkoliv sklon a míru zhutnění svahu</t>
  </si>
  <si>
    <t>Obdělání půdy hrabáním ve svahu do 1:2</t>
  </si>
  <si>
    <t>Fixace substrátu na ploše celého záhonu jutovou rohoží (500 g/m2), přesahy jednotlivých pásů min. 100 mm. Plošné kotvení ocelovými kotvícími skobami dle sklonu svahu a dle výrobce, lem rohože alespoň 3 x přehnout a zajistit skobami.</t>
  </si>
  <si>
    <t>Jutová protierozní síť - rohož - 500g/m2 - 50m x 1,22m (61m2)</t>
  </si>
  <si>
    <t>Kotvící ocelová skoba - PROFI - L - 100ks</t>
  </si>
  <si>
    <t>Zřízení vrstvy z geotextilie ve sklonu přes 1:5 do 1:2š do 3m</t>
  </si>
  <si>
    <r>
      <t>m</t>
    </r>
    <r>
      <rPr>
        <vertAlign val="superscript"/>
        <sz val="10"/>
        <color theme="1"/>
        <rFont val="Arial Narrow"/>
        <family val="2"/>
        <charset val="238"/>
      </rPr>
      <t>2m2</t>
    </r>
  </si>
  <si>
    <t>ocel kruhová pr.10mm 60 ks začpičatělé, dl. 800 mm</t>
  </si>
  <si>
    <t>Jednotlivé taxony peren jsou vysazovány po 5 ks (vrbina jednotlivě), cibuloviny plošně po 20 nebo 10 ks.</t>
  </si>
  <si>
    <t>Hloubení jamek bez výměny půdy zeminy tř 1 až 4 obj do 0,002 m3 ve svahu přes 1:5 do 1:2</t>
  </si>
  <si>
    <t>Hloubení jamek bez výměny půdy zeminy tř 1 až 4 obj přes 0,002 do 0,005 m3 ve svahu přes 1:5 do 1:2</t>
  </si>
  <si>
    <t>Hloubení jamek bez výměny půdy zeminy tř 1 až 4 obj do 0,002 m3 ve svahu přes 1:5 do 1:2 malé cibule. 50% ceny</t>
  </si>
  <si>
    <t>PŘÍTOK A PŘEPAD NENÍ SOUČÁSTÍ NABÍDKY</t>
  </si>
  <si>
    <t>celkem dod., mat.</t>
  </si>
  <si>
    <t>Z.3.3.3</t>
  </si>
  <si>
    <t xml:space="preserve">Založení záhonu pod střechou kavárny na štěrkové rýze HDV
</t>
  </si>
  <si>
    <t>Popis: Záhon z trav a kapradin doplněný o cibuloviny.</t>
  </si>
  <si>
    <t xml:space="preserve"> substrát 70 % drceného kameniva fr 4/8 mm, 30 % kompost 0/10 mm, obohaceno  o rohovinu v množství 2 l na 1m3 substrátu mocnost 350 - 450 mm, ztratné 10%</t>
  </si>
  <si>
    <t>Rozprostření ornice tl vrstvy přes 300 do 400 mm pl do 100 m2 v rovině nebo ve svahu do 1:5 strojně</t>
  </si>
  <si>
    <t>lokální modelace terénu v daném segmentu - snížení nivelety středu záhonu (o 100 mm).</t>
  </si>
  <si>
    <t>Z.3.3.4</t>
  </si>
  <si>
    <t>Založení podrostového záhonu obvodového prstence na severní štěrkové rýze HDV /viz. technologie Z 3.5.1/</t>
  </si>
  <si>
    <t>Sortiment: součástí technologie Z.3.3.1</t>
  </si>
  <si>
    <t>popis</t>
  </si>
  <si>
    <t xml:space="preserve"> výsadba trvalek a cibulovin do severní štěrkové rýhy</t>
  </si>
  <si>
    <t>Pozn: osazovací plán – součást Z.3.3.1 založení podrostového záhonu obvodového prstence – segment 7, viz v.č. D.1.4.6.A.4.8.</t>
  </si>
  <si>
    <t>Technologie:</t>
  </si>
  <si>
    <t>Příprava stanoviště – realizace lože je součástí technologie Z.3.5.1.</t>
  </si>
  <si>
    <t>Výsadba - Trvalky budou vysazeny po výsadbě dřevin do předem připraveného vegetačního lože na místa dle osazovacího plánu za použití výpěstků velikosti dle specifikace (P9, 2l). Po vyhloubení jamky před vlastní výsadbou vyhnojení tabletovým zásobním hnojivem (1 tableta/trvalka). Cibuloviny budou před výsadbou namořeny a budou vysázeny v podzimním termínu, hloubka výsadby do vegetačního lože odpovídá 1,5 násobku výšky cibule. Zakrytí směsí drceného kameniva – moréna (33,3% drcené kamenivo fr 4/8 mm, 33,3% drcené kamenivo fr 8/16 mm, 33,3% drcené kamenivo fr 16/32 mm, vzorek schválený AD) ve vrstvě tl. 50 mm. Ochranné oplocení součástí Z.3.3.1.</t>
  </si>
  <si>
    <t>Z.3.4  </t>
  </si>
  <si>
    <t>BYLINNÉ PATRO SETÉ</t>
  </si>
  <si>
    <t>Z.3.4.1</t>
  </si>
  <si>
    <t>Založení pobytového zátěžového trávníku v centrálním prostoru parku</t>
  </si>
  <si>
    <t>Popis: Zátěžový trávník odolný proti zhutnění sešlapem na dvou hlavních pobytových plochách.</t>
  </si>
  <si>
    <t>Sortiment: směs UNI 5 Korzo, směs pro rekreační trávníky, složení: Jílek vytrvalý 2n 55%, lipnice luční 15%, kostřava červená dlouze výběžkatá 15%, kostřava červená krátce výběžkatá 5%, kostřava červená trsnatá 10%</t>
  </si>
  <si>
    <t>kg</t>
  </si>
  <si>
    <t>Příprava stanoviště – vytvoření dvouvrstvého lože odolného proti zhutnění.</t>
  </si>
  <si>
    <t>Plochy, kde neprobíhalo HTÚ, budou zkultivátorovány, organický materiál bude odvezen 30mm. Následně bude sejmuta místní zemina ve vrstvě 40 mm a deponována na staveništi pro pozdější využití. Na plochách, kde probíhalo HTÚ budou po jeho dokončení odstraněny organické zbytky.</t>
  </si>
  <si>
    <t>Chemické odplevelení před založením kultury nad 20 m2 postřikem na široko v rovině a svahu do 1:5 10% ploch</t>
  </si>
  <si>
    <t>Herbicid totální  (např Roundup)100m2 / 5l H2O 20ml/l</t>
  </si>
  <si>
    <t>Odstranění stařiny přes 500 m2 s naložením a odvozem do 20 km v rovině nebo svahu do 1:5</t>
  </si>
  <si>
    <t>Odvoz a likvidace odpadu - drn+ stařina cca 30 mm</t>
  </si>
  <si>
    <t>Sejmutí ornice plochy přes 500 m2 tl vrstvy do 200 mm strojně</t>
  </si>
  <si>
    <t>Deponie místní zeminy cca 40mm</t>
  </si>
  <si>
    <t>Narušení podkladu do hl. 80 mm. Navezení drceného kameniva fr 4/8 mm ve vrstvě tl. 40 mm, lokální zapravení kultivací, statické uválení.</t>
  </si>
  <si>
    <t>Obdělání půdy frézováním v rovině a svahu do 1:5 2x</t>
  </si>
  <si>
    <t>Drceného kameniva fr 4/8 mm v poměru 1:1 ve vrstvě tl. 40 mm ztratné 10%</t>
  </si>
  <si>
    <t>Obdělání půdy kultivátorováním, v rovině, 2x Zapravení směsi do nakypřené místní zemniny. Celková mocnost zkypřeného souvrství bude 150 mm.</t>
  </si>
  <si>
    <t>Obdělání půdy vláčením v rovině a svahu do 1:5</t>
  </si>
  <si>
    <t>Obdělání půdy válením v rovině a svahu do 1:5</t>
  </si>
  <si>
    <t>okolí kořenů pouze ruční kultivace s následným převrstvením určené směsi na cílovou mocnost 150 mm. Obdělání půdy nakopáním na hloubku do 0,1 m v rovině a svahu do 1:5; 10% plochy - dle skutečné výměry</t>
  </si>
  <si>
    <t>externě míchaná směs místní zeminy a písku fr 2/4 mm v poměru 2:1 o mocnosti 30 mm, ztratné, zhutnění 10%</t>
  </si>
  <si>
    <t>Aplikace NPK hnojiva s inhibitorem nitrifikace DMPP  NC 12-8-16+3+ME v dávce 30 g/m2 (viz Specifikace použitých materiálů).</t>
  </si>
  <si>
    <t>Hnojení půdy umělým hnojivem na široko v rovině a svahu do 1:5</t>
  </si>
  <si>
    <t>Obdělání půdy válením v rovině a svahu do 1:5; 2x</t>
  </si>
  <si>
    <t>Založení parkového trávníku výsevem pl přes 1000 m2 v rovině a ve svahu do 1:5</t>
  </si>
  <si>
    <t>osivo</t>
  </si>
  <si>
    <t>po první seči - součást  položky Založení travníku - hnojení</t>
  </si>
  <si>
    <t>Následná péče: První odplevelovací seč při průměrné výšce porostu 15-20 cm na konečnou výšku 10-12 cm. Trávník je zcela nepřístupný pro běžné užití k účelu zřízení po dobu 90 dní od první seče v nejbližším vegetačním období.</t>
  </si>
  <si>
    <t>Rozvojová péče: intenzivní, seč cca 20 x ročně se sběrem pokosené hmoty s ohledem na klimatické podmínky cca při výšce porostu 6-10 cm, ale vždy tak, aby nedošlo jednorázově k odstranění více než 1/3 listové čepele a současně ke snížení výšky porostu pod 4 cm. Při teplotách nad 25 °C je nutné výšku kosení zvýšit a seče omezit. Hnojení dle plánu hnojení, vertikutace, aplikace fungicidů dle potřeby, aerifikace dle potřeby. Dle potřeby podzimní dosev trávníku.</t>
  </si>
  <si>
    <t>Ošetření trávníku shrabáním v rovině a svahu do 1:5</t>
  </si>
  <si>
    <t>Z.3.4 </t>
  </si>
  <si>
    <t>Bylinné patro seté</t>
  </si>
  <si>
    <t>Z.3.4.2</t>
  </si>
  <si>
    <t>Založení pobytového stinného trávníku pod stromy kolem okružní cesty</t>
  </si>
  <si>
    <t>Popis: Zátěžový trávník obohacený o byliny a jeteloviny ve stínu listnatých stromů odolný proti zhutnění sešlapem.</t>
  </si>
  <si>
    <t>Plochy, kde neprobíhalo HTÚ, budou zkultivátorovány, organický materiál bude odvezen. Následně bude sejmuta místní zemina ve vrstvě 40 mm a deponována na staveništi pro pozdější využití. Na plochách, kde probíhalo HTÚ budou po jeho dokončení odstraněny organické zbytky.</t>
  </si>
  <si>
    <t>míchání osiva s pískem</t>
  </si>
  <si>
    <t>Obdělání půdy hrabáním v rovině a svahu do 1:5</t>
  </si>
  <si>
    <t>Následná a rozvojová péče: max 10 sečí, nebo dle srážkového uhrnu.  bez hnojení. Dle potřeby dosev trávníku v podzimním termínu.</t>
  </si>
  <si>
    <t>Z.3.4.3</t>
  </si>
  <si>
    <t xml:space="preserve">Založení parkového trávníku s pestřejší druhovostí na průlehu HDV
</t>
  </si>
  <si>
    <t>Popis: Jedná se trávník průlehů HDV. Charakterem travní porost odpovídá druhově pestřejšímu parkovému trávníku s druhy určenými ke kosení.</t>
  </si>
  <si>
    <t>Příprava stanoviště - na ložní humusovou filtrační vrstvu tl. 260 mm (součást HDV) bude rozprostřena homogenní externě míchaná směs z místní deponované zeminy a písku fr 2/4 mm v poměru 3:1 o mocnosti 40 mm. Bez hnojení.</t>
  </si>
  <si>
    <t>externě míchaná směs místní zeminy a písku fr 2/4 mm v poměru 3:1 o mocnosti 40 mm, ztratné, zhutnění 10%</t>
  </si>
  <si>
    <t>Rozprostření ornice tl vrstvy do 200 mm pl přes 100 do 500 m2 v rovině nebo ve svahu do 1:5 strojně</t>
  </si>
  <si>
    <t>Založení parkového trávníku výsevem pl do 1000 m2 v rovině a ve svahu do 1:5</t>
  </si>
  <si>
    <t>Následná a rozvojová péče: 4 - 6 sečí dle srážkového úhrnu, bez hnojení. Dle potřeby dosev trávníku v podzimním termínu.</t>
  </si>
  <si>
    <t>Z.3.4.4</t>
  </si>
  <si>
    <t>Dosev spáry dlažby s drceným kamenivem</t>
  </si>
  <si>
    <t>Sortiment: VV-17 Směs do sadových mezipásů, složení: Kostřava červená dlouze výběžkatá 'Bardance' 10%, kostřava červená dlouze výběžkatá 'Polka' 30%, kostřava červená krátce výběžkatá 'Viktorka' 15%, kostřava červená trsnatá 'Musica' 20%, kostřava drsnolistá 'Shaun' 15%, lipnice luční 'Rubicon' 9%, psineček obecný 'Highland' 1%</t>
  </si>
  <si>
    <t>Příprava stanoviště – stavba zajistí pokládku dlažby. Vyplnění spár prosívkou z homogenní externě míchané směsi drceného kameniva fr 0/4 mm 70% a místní ornice 30% (substrát C, viz specifikace substrátů). Vzorek nutné schválit AD. Prosívka dosahuje do úrovně cca - 5 mm pod niveletu dlažby.</t>
  </si>
  <si>
    <t>Vyplnění spár prosívkou z homogenní externě míchané směsi drceného kameniva fr 0/4 mm 70% a místní ornice 30% (substrát C, viz specifikace substrátů) výška dlažby 100 mm, prosívka dosahuje do úrovně cca - 5 mm pod niveletu dlažby, výška vrstvy substrátu tedy 95mm, ztratné, ulehnutí 10%</t>
  </si>
  <si>
    <t>Rozprostření ornice tl vrstvy do 200 mm v rovině nebo ve svahu do 1:5 ručně</t>
  </si>
  <si>
    <t>Půdní kondicionér A LR 1+10+0 (+45 SiO2)  g/m2 (viz Specifikace použitých materiálů). 150g/m2</t>
  </si>
  <si>
    <t>Následná a rozvojová péče: seč cca 8 - 12 x ročně rotační sekačkou se sběrem pokosené hmoty s ohledem na klimatické podmínky při výšce porostu max. 80 mm, vždy tak, aby nedošlo jednorázově k odstranění více než 1/3 listové čepele a současně ke snížení výšky porostu pod 40 mm. Při teplotách nad 25 °C je nutné výšku kosení zvýšit a seče omezit. Bez hnojení. Možná bodová aplikace herbicidu. Dle potřeby podzimní dosev trávníku.</t>
  </si>
  <si>
    <t>Z.3.4.5</t>
  </si>
  <si>
    <t>Založení štěrkového trávníku pod hracími prvky   </t>
  </si>
  <si>
    <t>Příprava stanoviště – realizace po osazení herních prvků. Úprava terénu na úroveň -250 mm pod niveletu navrženého terénu. Rozprostření vrstvy drceného kameniva fr. 8/16 mm tl. 50 mm. Rozprostření externě míchaného homogenního substrátu složeného ze 70 % drceného kameniva fr 0/32 mm a 30 % místní deponované zeminy (vzorek schválen AD) v celkové vrstvě tl. 200 mm. Směs bude pokládána po vrstvách. Spodních 150 mm bude nevibračně zhutněno. Horních 50 mm bude nevibračně zhutněno až po provedení výsevu. Napojení na okolní plochy musí být plynulé.</t>
  </si>
  <si>
    <t>Drcené kamenivo fr. 8/16 mm tl. 50 mm</t>
  </si>
  <si>
    <t>externě míchaný homogenní substrát pro štěrkové trávníky (viz Specifikace substrátů, substrát E</t>
  </si>
  <si>
    <t>Založení parkového trávníku výsevem pl do 1000 m2 v rovině a ve svahu do 1:5</t>
  </si>
  <si>
    <t>Následná a rozvojová péče: Seč 6 x ročně nebo při délce stébla nad 70 mm dle průběhu počasí, možná bodová aplikace herbicidu. Dosev dle potřeby.</t>
  </si>
  <si>
    <t>Z.3.5.</t>
  </si>
  <si>
    <t xml:space="preserve">OPATŘENÍ ZLEPŠUJÍCÍ STANOVIŠTĚ  
</t>
  </si>
  <si>
    <t>Z.3.5.1</t>
  </si>
  <si>
    <t>Založení  štěrkové rýhy a prokořenitelného prostoru</t>
  </si>
  <si>
    <t>Výkop rýhy  délka 73bm, šířka 1,2 bm hloubka 0,8m</t>
  </si>
  <si>
    <r>
      <t>m</t>
    </r>
    <r>
      <rPr>
        <vertAlign val="superscript"/>
        <sz val="10"/>
        <color theme="1"/>
        <rFont val="Arial Narrow"/>
        <family val="2"/>
        <charset val="238"/>
      </rPr>
      <t>3</t>
    </r>
  </si>
  <si>
    <t>Hloubení rýh nezapažených š do 2000 mm v hornině třídy těžitelnosti I skupiny 1 a 2 objem do 100 m3 strojně</t>
  </si>
  <si>
    <t>odvoz a likvidace odpadu</t>
  </si>
  <si>
    <t>Výkop dolní části spodního vsakovacího objektu délka 1bm, šířka 1,2 bm hloubka 0,7m</t>
  </si>
  <si>
    <t>Odkopávky a prokopávky v hornině třídy těžitelnosti I, skupiny 3 ručně</t>
  </si>
  <si>
    <t>NOVÉ VRSTVY SPODNÍHO VSAKOVACÍHO OBKJEKTU</t>
  </si>
  <si>
    <t>štěrk fr. 32/64 délka 1m; šířka 1,2m; vrstva 0,4m</t>
  </si>
  <si>
    <t>štěrk fr. 16/32 délka 1m; šířka 1,2m; vrstva 0,1m</t>
  </si>
  <si>
    <t>štěrk fr. 8/16 délka 1m; šířka 1,2m; vrstva 0,1m</t>
  </si>
  <si>
    <t>štěrk fr. 4/8 délka 1m; šířka 1,2m; vrstva 0,1m</t>
  </si>
  <si>
    <t>Uložení sypaniny z hornin nesoudržných kamenitých do násypů zhutněných ručně</t>
  </si>
  <si>
    <t>NOVÉ VRSTVY CELÉ RÝHY</t>
  </si>
  <si>
    <t xml:space="preserve">strukturovaný substrát (85% štěrk 32/64, 7,5 % biouhel 0/10, 7,5 %kompost 0/10)   </t>
  </si>
  <si>
    <t>délka 73m; šířka 1,2m; vrstva 0,4m</t>
  </si>
  <si>
    <t>Uložení sypaniny z hornin nesoudržných kamenitých do násypů zhutněných strojně</t>
  </si>
  <si>
    <t>hutnění po 10 cm tzn 4x</t>
  </si>
  <si>
    <t>štěrk fr. 8/16</t>
  </si>
  <si>
    <t>délka 73m; šířka 1,2m; vrstva 0,05m</t>
  </si>
  <si>
    <t>jemný štěrkový substrát (70% štěrk 4/8, 20% kompost 0/10, 9% biouhel 0/10, 1% (5kg) rohoviny) 73 x 1,2 x 0,35</t>
  </si>
  <si>
    <t>Rozprostření ornice pl do 100 m2 ve svahu přes 1:5 tl vrstvy přes 300 do 400 mm strojně</t>
  </si>
  <si>
    <t>Obdělání půdy hrabáním v rovině a svahu do 1:5</t>
  </si>
  <si>
    <t>MODELACE SVÁŽKŮ- jemný štěrkový substrát 74,2 x 0,2 x 0,1</t>
  </si>
  <si>
    <t>Svahování v zářezech v hornině třídy těžitelnosti I skupiny 3 ručně</t>
  </si>
  <si>
    <t>MODELACE HRÁZEK - jemný štěrkový substrát 10,8 x 0,4 x 0,1</t>
  </si>
  <si>
    <t>Opatření zlepšující stanoviště</t>
  </si>
  <si>
    <t>Z.3.5.2</t>
  </si>
  <si>
    <t>Protierozní opatření (DLE STAVEBNÍ ROZPOČTÁŘE)</t>
  </si>
  <si>
    <t>Zemní práce</t>
  </si>
  <si>
    <t>Odkopávky a prokopávky ručně zapažené i nezapažené v hornině třídy těžitelnosti I skupiny 3</t>
  </si>
  <si>
    <t>výkop kufru stupňů segmentu ve svahu</t>
  </si>
  <si>
    <t>Hloubení jam ručně zapažených i nezapažených s urovnáním dna do předepsaného profilu a spádu v hornině třídy těžitelnosti I skupiny 3 soudržných</t>
  </si>
  <si>
    <t>mezi rýhou HDV (z 3.5.1 založení severní štěrkové rýhy a prokořenitelného prostoru</t>
  </si>
  <si>
    <t>Zásyp sypaninou z jakékoliv horniny ručně s uložením výkopku ve vrstvách se zhutněním jam, šachet, rýh nebo kolem objektů v těchto vykopávkách</t>
  </si>
  <si>
    <t>zásyp kamenivem</t>
  </si>
  <si>
    <t>zásyp stupnic</t>
  </si>
  <si>
    <t>zásyp jílovitou zeminou</t>
  </si>
  <si>
    <t>podsyp štěrkem</t>
  </si>
  <si>
    <t>zásyp štěrkem-spáry mezi prkny</t>
  </si>
  <si>
    <t>kamenivo drcené drobné frakce 0/4</t>
  </si>
  <si>
    <t>kamenivo drcené hrubé frakce 4/8</t>
  </si>
  <si>
    <t>bentonit neaktivovaný sušený mletý VL</t>
  </si>
  <si>
    <t>Zpevnění svahu prkny  v zemině tř. 1 až 4 na svahu přes 1:1</t>
  </si>
  <si>
    <t>Zakládání</t>
  </si>
  <si>
    <t>Zřízení opláštění výplně z geotextilie odvodňovacích žeber nebo trativodů  v rýze nebo zářezu se stěnami šikmými o sklonu do 1:2</t>
  </si>
  <si>
    <t>geotextilie PP s ÚV stabilizací 300g/m2</t>
  </si>
  <si>
    <t>Podsyp pod základové konstrukce se zhutněním a urovnáním povrchu z kameniva hrubého, frakce 16 - 32 mm</t>
  </si>
  <si>
    <t>frakce 0/32</t>
  </si>
  <si>
    <t>Přesun hmot</t>
  </si>
  <si>
    <t>Přesun hmot pro sadovnické a krajinářské úpravy - ručně bez užití mechanizace vodorovná dopravní vzdálenost do 100 m</t>
  </si>
  <si>
    <t>OCH OP 3.1_PH 1 (SO 03, SO 04)</t>
  </si>
  <si>
    <t>30 mm sejmutí drnu supersonickým rýčem</t>
  </si>
  <si>
    <t>70 mm sejmutí drnovky supersonickým rýčem</t>
  </si>
  <si>
    <t>výkop technologií Airspade (pneumatický rýč)</t>
  </si>
  <si>
    <t>Uložení a hrubé rozhrnutí výkopku bez zhutnění v rovině a ve svahu do 1:5</t>
  </si>
  <si>
    <t>OCH OP 3.2_PH 2 (SO 03, SO 04)</t>
  </si>
  <si>
    <t>Odkop podorničí ručně - v okolí stromů</t>
  </si>
  <si>
    <t>R-položka z 121112006</t>
  </si>
  <si>
    <t>Sejmutí ornice tl vrstvy přes 300 do 400 mm ručně;  m2 319,-Kč</t>
  </si>
  <si>
    <t>OCH OP 3.3_AIR (HDV IO 201)</t>
  </si>
  <si>
    <t>HDV airspade</t>
  </si>
  <si>
    <t>velikost  výkopů</t>
  </si>
  <si>
    <t>IO 103</t>
  </si>
  <si>
    <t>IO 103 Ochrana stromů na stavbě</t>
  </si>
  <si>
    <t>OCH OP 1</t>
  </si>
  <si>
    <t>Ochranné oplocení</t>
  </si>
  <si>
    <t>Ochranné oplocení kořenové zóny stromu v rovině nebo na svahu do 1:5 v do 1500 mm</t>
  </si>
  <si>
    <t>OCH OP 2</t>
  </si>
  <si>
    <t>Ochrana půdy před zhutněním</t>
  </si>
  <si>
    <t>Dočasné i trvalé ukládání výkopků a stavebních materiálů či vybavení na nezpevněném půdním povrchu v chráněném kořenovém prostoru bez instalované ochrany proti zhutnění je nepřípustné.</t>
  </si>
  <si>
    <t>Geotextilie pro ochranu, separaci a filtraci netkaná měrná hmotnost do 300 g/m2</t>
  </si>
  <si>
    <t>V cenách jsou započteny i náklady na položení a dodání geotextilie včetně přesahů.</t>
  </si>
  <si>
    <t>Uložení a hrubé rozhrnutí výkopku bez zhutnění v rovině a ve svahu do 1:5</t>
  </si>
  <si>
    <t>šterk</t>
  </si>
  <si>
    <t>osb desky</t>
  </si>
  <si>
    <t>OCH OP 3.4_AIR ( SO 08 a 09)</t>
  </si>
  <si>
    <t>Odtěžení air-spadem pod stromy</t>
  </si>
  <si>
    <t>Zkrácený</t>
  </si>
  <si>
    <t>IO.101</t>
  </si>
  <si>
    <t>IO 101 Kácení a pěstební opatření stávajících dřevin</t>
  </si>
  <si>
    <t>Z.1.1 strom stávající navržený k odstranění</t>
  </si>
  <si>
    <t>Z.1.2 solitérní keř navržený k odstranění</t>
  </si>
  <si>
    <t>Z.2.2 pěstební opatření ponechaných keřů</t>
  </si>
  <si>
    <t>Z 2.3 přesázení solitérního keře do vegetačního podrostu</t>
  </si>
  <si>
    <t>IO.102</t>
  </si>
  <si>
    <t>IO 102 Vegetační úpravy</t>
  </si>
  <si>
    <t>Z.3.1 STROMOVÉ PATRO</t>
  </si>
  <si>
    <t>Z.3.3 BYLINNÉ PATRO SÁZENÉ</t>
  </si>
  <si>
    <t>Celkem (dodávka + montáž)</t>
  </si>
  <si>
    <t>Celkem</t>
  </si>
  <si>
    <t>Poznámka:</t>
  </si>
  <si>
    <t>Voda je ze zdroje investora.</t>
  </si>
  <si>
    <t>Investor umožní přístup k plochám zeleně.</t>
  </si>
  <si>
    <t>Uvedné ceny jsou platné pro rok 1 pololetí 2021.</t>
  </si>
  <si>
    <t>Při práci s rozpočtem je nutné pracovat i s listem "Substráty".</t>
  </si>
  <si>
    <t>Bc. Hana Pollertová</t>
  </si>
  <si>
    <t>Při vyplňování Soupisu prací v rámci výběru zhotovitele je nutné respektovat dále uvedené pokyny: </t>
  </si>
  <si>
    <t>1) Při zpracování nabídky je nutné využít všech částí (dílů) dokumentace pro provádění stavby tj. technické zprávy, všech výkresů, detailů, výpisů, vyobrazení, tabulek a specifikací.</t>
  </si>
  <si>
    <t>2) Součástí jednotkových cen položek musí být veškeré náklady tak, aby cena byla konečná a zahrnovala celou dodávku a montáž, včetně přesunu hmot, lešení, pomocné konstrukce, zvedací mechanismy, povinné zkoušky, vzorky, atesty, apod., pokud tyto náklady nejsou uvedeny zvlášť. </t>
  </si>
  <si>
    <t>3) Součástí jednotkových cen položek je i inženýrská činnost zhotovitele, komplexní zkoušky, včetně zkušebního provozu a zaregulování, včetně nákladů na spotřebu energií, kompletační a koordinační činnost, pojištění stavby, provozní řády, návodů na obsluhu, potvrzení o shodě, apod. Tyto náklady musejí být rozpuštěny do nabídkových cen a nebudou zvlášť hrazeny, pokud nejsou uvedeny zvlášť.</t>
  </si>
  <si>
    <t>4) Každá uchazečem vyplněná položka musí obsahovat veškeré technicky a logicky dovoditelné součásti dodávky a montáže. </t>
  </si>
  <si>
    <t>5) Dodávky a montáže uvedené v nabídce musí být, včetně veškerého souvisejícího doplňkového, podružného a montážního materiálu, tak, aby celé zařízení bylo funkční a splňovalo všechny předpisy, které se na ně vztahují (např. hmoždinky, šrouby, upevňovací prvky, návlečky, popisky, štítky, apod.)  </t>
  </si>
  <si>
    <t>6) V průběhu provádění prací budou respektovány všechny příslušné platné předpisy a požadavky BOZP. Náklady vyplývající z jejich dodržení jsou součástí jednotkových cen a nebudou zvlášť hrazeny.</t>
  </si>
  <si>
    <t>7) V případě, že je ve výkazu výměr použito označení výrobků konkrétním výrobcem, nejedná se o omezení hospodářské soutěže, ale pouze o vyjádření standardu požadované kvality tam, kde by mohl být obecný popis položky nedostatečně přesný nebo nesrozumitelný. Použití jiných kvalitativně a technicky obdobných řešení je výslovně možné (zák. č. 134/2016 Sb, §89, odst. (6)). V takovém případě je uchazeč povinen dodržet standard technických parametrů a zároveň přejímá odpovědnost za správnost náhrady a koordinaci se všemi navazujícími profesemi.</t>
  </si>
  <si>
    <t>Specifikace substrátů</t>
  </si>
  <si>
    <t>Označení</t>
  </si>
  <si>
    <t>F</t>
  </si>
  <si>
    <t>H</t>
  </si>
  <si>
    <t>Složka (%)</t>
  </si>
  <si>
    <t>jemný štěrkový substrát (70% štěrk 4/8, 20% kompost 0/10, 9% biouhel 0/10, 1% rohoviny)</t>
  </si>
  <si>
    <t>zásyp moréna: 33,3% drcené kamenivo fr 4/8 mm, 33,3% drcené kamenivo fr 8/16 mm, 33,3% drcené kamenivo fr 16/32 mm - na severní hraně</t>
  </si>
  <si>
    <t>Spáry v dlažbě travník</t>
  </si>
  <si>
    <t>Substrát pro keřové skupiny a podrosty</t>
  </si>
  <si>
    <t>Rozprostření a modelace substrátu ze 70 % drceného kameniva fr 4/8 mm, 30 % kompost 0/10 mm, obohaceno o rohovinu v množství 2kg na 1m3 substrátu</t>
  </si>
  <si>
    <t>stromový substrát do vegetačního povrchu:</t>
  </si>
  <si>
    <t>stromovým substrátem do mlatu-</t>
  </si>
  <si>
    <t>Substrát pro  štěrkové trávníky</t>
  </si>
  <si>
    <t>Substrát F Top Ton</t>
  </si>
  <si>
    <t>33,3 % hlinité zeminy vazné s vyšším podílem jílu, 33,3 % drceného kameniva fr. 8/16 mm a 33,3 % humusového kompostu fr 0/10 mm</t>
  </si>
  <si>
    <t>trávník</t>
  </si>
  <si>
    <t>cena / m.j.</t>
  </si>
  <si>
    <t>vrch  rýhy</t>
  </si>
  <si>
    <t>moréna</t>
  </si>
  <si>
    <t>Spáry</t>
  </si>
  <si>
    <t>keře</t>
  </si>
  <si>
    <t>kavárna</t>
  </si>
  <si>
    <t>strom veget</t>
  </si>
  <si>
    <t>str. rýha spodek</t>
  </si>
  <si>
    <t>strom v mlatu</t>
  </si>
  <si>
    <t>travnik štěrk</t>
  </si>
  <si>
    <t>gramoflor</t>
  </si>
  <si>
    <t>Bulty šlenky</t>
  </si>
  <si>
    <t>Štěrk ostrohranný fr 4/8 mm</t>
  </si>
  <si>
    <t>Štěrk ostrohranný fr 8/16 mm</t>
  </si>
  <si>
    <t>Makadam fr 32/64 mm</t>
  </si>
  <si>
    <t>Makadam fr 16/32mm</t>
  </si>
  <si>
    <t>Štěrk fr 0/32 mm</t>
  </si>
  <si>
    <t>Biouhel (agrouhel)</t>
  </si>
  <si>
    <t>substrát F (Gramoflor Top Ton)</t>
  </si>
  <si>
    <t>1 kg rohoviny ,0020 m3 cca 2l</t>
  </si>
  <si>
    <t xml:space="preserve"> trojitý superfosfát 200 g/m3</t>
  </si>
  <si>
    <t>Místní zemina (vzorek schválený AD)</t>
  </si>
  <si>
    <t>Písek fr 0-2 mm</t>
  </si>
  <si>
    <t>Kompost</t>
  </si>
  <si>
    <t>Jemná kůra 0-5mm</t>
  </si>
  <si>
    <t>míchání substrátu</t>
  </si>
  <si>
    <t>POZN: u strukturního substrátu příměsi pouze vyplní prostor mezi kamenivem, do celkové kubatury tedy nemohou být připočítány.</t>
  </si>
  <si>
    <t>NOVATEC CLASSIC, 12-8-16+3+ME</t>
  </si>
  <si>
    <t>Půdní kondicionér Agrosil LR 1+10+0 (+45 SiO2)</t>
  </si>
  <si>
    <r>
      <t>Substrát F</t>
    </r>
    <r>
      <rPr>
        <sz val="8"/>
        <color rgb="FF000000"/>
        <rFont val="Arial Narrow"/>
        <family val="2"/>
        <charset val="238"/>
      </rPr>
      <t xml:space="preserve"> –  50% hrubá borkovaná rašelina, 20% rašelinová vlákna, 30% černá rašelina přesátá od prachu, 90 kg jílu/m</t>
    </r>
    <r>
      <rPr>
        <vertAlign val="superscript"/>
        <sz val="8"/>
        <color rgb="FF000000"/>
        <rFont val="Arial Narrow"/>
        <family val="2"/>
        <charset val="238"/>
      </rPr>
      <t>3</t>
    </r>
    <r>
      <rPr>
        <sz val="8"/>
        <color rgb="FF000000"/>
        <rFont val="Arial Narrow"/>
        <family val="2"/>
        <charset val="238"/>
      </rPr>
      <t>, startovací hnojivo s poměrem živin 21-7-14, 0,8 kg/m</t>
    </r>
    <r>
      <rPr>
        <vertAlign val="superscript"/>
        <sz val="8"/>
        <color rgb="FF000000"/>
        <rFont val="Arial Narrow"/>
        <family val="2"/>
        <charset val="238"/>
      </rPr>
      <t>3</t>
    </r>
    <r>
      <rPr>
        <sz val="8"/>
        <color rgb="FF000000"/>
        <rFont val="Arial Narrow"/>
        <family val="2"/>
        <charset val="238"/>
      </rPr>
      <t>, 2 kg rohoviny/m</t>
    </r>
    <r>
      <rPr>
        <vertAlign val="superscript"/>
        <sz val="8"/>
        <color rgb="FF000000"/>
        <rFont val="Arial Narrow"/>
        <family val="2"/>
        <charset val="238"/>
      </rPr>
      <t>3</t>
    </r>
    <r>
      <rPr>
        <sz val="8"/>
        <color rgb="FF000000"/>
        <rFont val="Arial Narrow"/>
        <family val="2"/>
        <charset val="238"/>
      </rPr>
      <t>, trojitý superfosfát 200 g/m</t>
    </r>
    <r>
      <rPr>
        <vertAlign val="superscript"/>
        <sz val="8"/>
        <color rgb="FF000000"/>
        <rFont val="Arial Narrow"/>
        <family val="2"/>
        <charset val="238"/>
      </rPr>
      <t>3</t>
    </r>
    <r>
      <rPr>
        <sz val="8"/>
        <color rgb="FF000000"/>
        <rFont val="Arial Narrow"/>
        <family val="2"/>
        <charset val="238"/>
      </rPr>
      <t>, cílové pH 5,7 v CaCl2.</t>
    </r>
  </si>
  <si>
    <t>Z.3.3.1 založení podrostového záhonu obvodového prstence</t>
  </si>
  <si>
    <t>K9</t>
  </si>
  <si>
    <t>2L</t>
  </si>
  <si>
    <t>Anemone × hybrida 'Pretty Lady Maria', 2l</t>
  </si>
  <si>
    <t xml:space="preserve">Anemone narcissiflora
</t>
  </si>
  <si>
    <t>Anemone sylvestris</t>
  </si>
  <si>
    <t>Aquilegia canadensis 'Little Lanterns'</t>
  </si>
  <si>
    <t>Aquilegia sibirica</t>
  </si>
  <si>
    <t>Aquilegia vulgaris var. alba</t>
  </si>
  <si>
    <t>Anemone × hybrida 'Pretty Lady Maria'</t>
  </si>
  <si>
    <t>Aster ageratoides 'Adustus Nanus'</t>
  </si>
  <si>
    <t>Aster ageratoides 'Ashvi'</t>
  </si>
  <si>
    <t>Aster amellus</t>
  </si>
  <si>
    <t>Aster ericoides 'First Snow'</t>
  </si>
  <si>
    <t>Aster linosyris</t>
  </si>
  <si>
    <t>Astrantia major subsp. involucrata 'Shaggy'</t>
  </si>
  <si>
    <t>Brunnera macrophylla, 2l</t>
  </si>
  <si>
    <t>Calamagrostis × acutiflora 'Waldenbuch'</t>
  </si>
  <si>
    <t>Digitalis purpurea</t>
  </si>
  <si>
    <t>Echinacea pallida</t>
  </si>
  <si>
    <t>Echinacea tennesseensis</t>
  </si>
  <si>
    <t>Euphorbia amygdaloides var. robbiae</t>
  </si>
  <si>
    <t>Geranium macrorrhizum 'Bevan'</t>
  </si>
  <si>
    <t>Geranium sanguineum 'Album'</t>
  </si>
  <si>
    <t>Geranium sanguineum 'Elsbeth'</t>
  </si>
  <si>
    <t>Geranium sanguineum 'Glenluce'</t>
  </si>
  <si>
    <t>Hacquetia epipactis</t>
  </si>
  <si>
    <t>Hakonechloa macra</t>
  </si>
  <si>
    <t>Helleborus foetidus</t>
  </si>
  <si>
    <t>Helleborus orientalis, 2l</t>
  </si>
  <si>
    <t>Hemerocallis citrina</t>
  </si>
  <si>
    <t>Hemerocallis lilioasphodelus</t>
  </si>
  <si>
    <t>Hesperis matronalis</t>
  </si>
  <si>
    <t>Hesperis matronalis var. albiflora</t>
  </si>
  <si>
    <t>Iberis sempervirens</t>
  </si>
  <si>
    <t>Liatris pycnostachya</t>
  </si>
  <si>
    <t>Linaria purpurea</t>
  </si>
  <si>
    <t>Linaria purpurea 'Springside White'</t>
  </si>
  <si>
    <t>Lunaria annua</t>
  </si>
  <si>
    <t>Liriope muscari 'Moneymaker'</t>
  </si>
  <si>
    <r>
      <rPr>
        <i/>
        <sz val="11"/>
        <color rgb="FF000000"/>
        <rFont val="Calibri"/>
        <family val="2"/>
        <charset val="238"/>
      </rPr>
      <t>Molinia caerulea</t>
    </r>
    <r>
      <rPr>
        <sz val="11"/>
        <color rgb="FF000000"/>
        <rFont val="Calibri"/>
        <family val="2"/>
        <charset val="238"/>
      </rPr>
      <t xml:space="preserve"> subsp. </t>
    </r>
    <r>
      <rPr>
        <i/>
        <sz val="11"/>
        <color rgb="FF000000"/>
        <rFont val="Calibri"/>
        <family val="2"/>
        <charset val="238"/>
      </rPr>
      <t>caerulea</t>
    </r>
    <r>
      <rPr>
        <sz val="11"/>
        <color rgb="FF000000"/>
        <rFont val="Calibri"/>
        <family val="2"/>
        <charset val="238"/>
      </rPr>
      <t xml:space="preserve"> 'Dauerstrahl'</t>
    </r>
    <r>
      <rPr>
        <i/>
        <sz val="11"/>
        <color rgb="FF000000"/>
        <rFont val="Calibri"/>
        <family val="2"/>
        <charset val="238"/>
      </rPr>
      <t>Molinia caerulea</t>
    </r>
    <r>
      <rPr>
        <sz val="11"/>
        <color rgb="FF000000"/>
        <rFont val="Calibri"/>
        <family val="2"/>
        <charset val="238"/>
      </rPr>
      <t xml:space="preserve"> subsp. </t>
    </r>
    <r>
      <rPr>
        <i/>
        <sz val="11"/>
        <color rgb="FF000000"/>
        <rFont val="Calibri"/>
        <family val="2"/>
        <charset val="238"/>
      </rPr>
      <t>caerulea</t>
    </r>
    <r>
      <rPr>
        <sz val="11"/>
        <color rgb="FF000000"/>
        <rFont val="Calibri"/>
        <family val="2"/>
        <charset val="238"/>
      </rPr>
      <t xml:space="preserve"> 'Dauerstrahl'</t>
    </r>
    <r>
      <rPr>
        <i/>
        <sz val="11"/>
        <color rgb="FF000000"/>
        <rFont val="Calibri"/>
        <family val="2"/>
        <charset val="238"/>
      </rPr>
      <t>Molinia caerulea</t>
    </r>
    <r>
      <rPr>
        <sz val="11"/>
        <color rgb="FF000000"/>
        <rFont val="Calibri"/>
        <family val="2"/>
        <charset val="238"/>
      </rPr>
      <t xml:space="preserve"> subsp. </t>
    </r>
    <r>
      <rPr>
        <i/>
        <sz val="11"/>
        <color rgb="FF000000"/>
        <rFont val="Calibri"/>
        <family val="2"/>
        <charset val="238"/>
      </rPr>
      <t>caerulea</t>
    </r>
    <r>
      <rPr>
        <sz val="11"/>
        <color rgb="FF000000"/>
        <rFont val="Calibri"/>
        <family val="2"/>
        <charset val="238"/>
      </rPr>
      <t xml:space="preserve"> 'Dauerstrahl'</t>
    </r>
  </si>
  <si>
    <t>Molinia caerulea subsp. caerulea 'Moorhexe'</t>
  </si>
  <si>
    <t>Miscanthus sinensis 'Kleine Silberspinne'</t>
  </si>
  <si>
    <t>Origanum laevigatum 'Herrenhausen'</t>
  </si>
  <si>
    <t>Platycodon grandiflorus 'Mariesii', 2l</t>
  </si>
  <si>
    <t>Polystichum setiferum, 2l</t>
  </si>
  <si>
    <t>Potentilla recta</t>
  </si>
  <si>
    <t>Potentilla recta 'Alba'</t>
  </si>
  <si>
    <t>Primula amoena</t>
  </si>
  <si>
    <t>Primula elatior</t>
  </si>
  <si>
    <t>Primula juliae</t>
  </si>
  <si>
    <t>Prunella grandiflora 'Freelander Mixed'</t>
  </si>
  <si>
    <t>Pulsatilla vulgaris subsp. grandis 'Papageno'</t>
  </si>
  <si>
    <t>Salvia × sylvestris 'Schneehügel'</t>
  </si>
  <si>
    <t>Salvia × sylvestris 'Viola Klose'</t>
  </si>
  <si>
    <t>Salvia sclarea</t>
  </si>
  <si>
    <t>Sedum 'Thunderhead', 2l</t>
  </si>
  <si>
    <t>Stachys macrantha</t>
  </si>
  <si>
    <t>Verbascum chaixii 'Sixteen Candles'</t>
  </si>
  <si>
    <t>Vinca minor 'Atropurpurea'</t>
  </si>
  <si>
    <t>Vinca minor f. alba 'Elisa'</t>
  </si>
  <si>
    <t>Waldsteinia geoides</t>
  </si>
  <si>
    <t>Waldsteinia ternata</t>
  </si>
  <si>
    <t>Cibuloviny</t>
  </si>
  <si>
    <t>velké</t>
  </si>
  <si>
    <t>malé</t>
  </si>
  <si>
    <t>Allium sphaerocephalon</t>
  </si>
  <si>
    <t>Anemone blanda'Blue Shades'</t>
  </si>
  <si>
    <t>Camassia leichtlinii subsp. suksdorfii Caerulea Group</t>
  </si>
  <si>
    <t>Hyacinthoides hispanica</t>
  </si>
  <si>
    <t>Lilium martagon</t>
  </si>
  <si>
    <t>Narcissus 'Pipit'</t>
  </si>
  <si>
    <t>Ornithogalum umbellatum</t>
  </si>
  <si>
    <t>Scilla siberica 'Spring Beauty'</t>
  </si>
  <si>
    <t>Tulipa clusiana 'Peppermintstick'</t>
  </si>
  <si>
    <t>Tulipa 'Menton'</t>
  </si>
  <si>
    <t>Tulipa 'White Dream'</t>
  </si>
  <si>
    <t> Z 3.3.2 založení periodicky zaplavovaného záhonu výsadbou</t>
  </si>
  <si>
    <t>Trvalky:</t>
  </si>
  <si>
    <t>Alchemilla mollis</t>
  </si>
  <si>
    <r>
      <rPr>
        <i/>
        <sz val="11"/>
        <color rgb="FF000000"/>
        <rFont val="Calibri"/>
        <family val="2"/>
        <charset val="238"/>
      </rPr>
      <t>Aster novae-angliae</t>
    </r>
    <r>
      <rPr>
        <sz val="11"/>
        <color rgb="FF000000"/>
        <rFont val="Calibri"/>
        <family val="2"/>
        <charset val="238"/>
      </rPr>
      <t xml:space="preserve"> 'Herbstschnee'</t>
    </r>
  </si>
  <si>
    <r>
      <rPr>
        <i/>
        <sz val="11"/>
        <color rgb="FF000000"/>
        <rFont val="Calibri"/>
        <family val="2"/>
        <charset val="238"/>
      </rPr>
      <t>Aster novae-angliae</t>
    </r>
    <r>
      <rPr>
        <sz val="11"/>
        <color rgb="FF000000"/>
        <rFont val="Calibri"/>
        <family val="2"/>
        <charset val="238"/>
      </rPr>
      <t xml:space="preserve"> 'Rubinschatz'</t>
    </r>
  </si>
  <si>
    <r>
      <t>Aster</t>
    </r>
    <r>
      <rPr>
        <sz val="11"/>
        <color rgb="FF000000"/>
        <rFont val="Calibri"/>
        <family val="2"/>
        <charset val="238"/>
      </rPr>
      <t xml:space="preserve"> 'Pink Star'</t>
    </r>
  </si>
  <si>
    <r>
      <rPr>
        <i/>
        <sz val="11"/>
        <color rgb="FF000000"/>
        <rFont val="Calibri"/>
        <family val="2"/>
        <charset val="238"/>
      </rPr>
      <t>Coreopsis verticillata</t>
    </r>
    <r>
      <rPr>
        <sz val="11"/>
        <color rgb="FF000000"/>
        <rFont val="Calibri"/>
        <family val="2"/>
        <charset val="238"/>
      </rPr>
      <t xml:space="preserve"> 'Grandiflora'</t>
    </r>
  </si>
  <si>
    <t>Euphorbia palustris, 2l</t>
  </si>
  <si>
    <r>
      <t>Helenium</t>
    </r>
    <r>
      <rPr>
        <sz val="11"/>
        <color rgb="FF000000"/>
        <rFont val="Calibri"/>
        <family val="2"/>
        <charset val="238"/>
      </rPr>
      <t xml:space="preserve"> 'Moerheim Beauty'</t>
    </r>
  </si>
  <si>
    <t>Iris pseudacorus, 2l</t>
  </si>
  <si>
    <t>Lysimachia nummularia</t>
  </si>
  <si>
    <t>Lythrum virgatum</t>
  </si>
  <si>
    <t>Molinia caerulea</t>
  </si>
  <si>
    <t>Physostegia virginiana</t>
  </si>
  <si>
    <t>Polemonium caeruleum</t>
  </si>
  <si>
    <t>Pycnanthemum virginianum</t>
  </si>
  <si>
    <r>
      <rPr>
        <i/>
        <sz val="11"/>
        <color rgb="FF000000"/>
        <rFont val="Calibri"/>
        <family val="2"/>
        <charset val="238"/>
      </rPr>
      <t>Rudbeckia fulgida</t>
    </r>
    <r>
      <rPr>
        <sz val="11"/>
        <color rgb="FF000000"/>
        <rFont val="Calibri"/>
        <family val="2"/>
        <charset val="238"/>
      </rPr>
      <t xml:space="preserve"> var. </t>
    </r>
    <r>
      <rPr>
        <i/>
        <sz val="11"/>
        <color rgb="FF000000"/>
        <rFont val="Calibri"/>
        <family val="2"/>
        <charset val="238"/>
      </rPr>
      <t>speciosa</t>
    </r>
  </si>
  <si>
    <t>Schizachyrium scoparium</t>
  </si>
  <si>
    <t>Trollius europaeus</t>
  </si>
  <si>
    <t>Trollius chinensis</t>
  </si>
  <si>
    <r>
      <t>Salvia</t>
    </r>
    <r>
      <rPr>
        <sz val="11"/>
        <color rgb="FF000000"/>
        <rFont val="Calibri"/>
        <family val="2"/>
        <charset val="238"/>
      </rPr>
      <t xml:space="preserve"> × </t>
    </r>
    <r>
      <rPr>
        <i/>
        <sz val="11"/>
        <color rgb="FF000000"/>
        <rFont val="Calibri"/>
        <family val="2"/>
        <charset val="238"/>
      </rPr>
      <t>sylvestris</t>
    </r>
    <r>
      <rPr>
        <sz val="11"/>
        <color rgb="FF000000"/>
        <rFont val="Calibri"/>
        <family val="2"/>
        <charset val="238"/>
      </rPr>
      <t xml:space="preserve"> 'Viola Klose'</t>
    </r>
  </si>
  <si>
    <t>Verbascum nigrum</t>
  </si>
  <si>
    <t>Cibuloviny:</t>
  </si>
  <si>
    <r>
      <t>Leucojum aestivum</t>
    </r>
    <r>
      <rPr>
        <sz val="11"/>
        <color rgb="FF000000"/>
        <rFont val="Calibri"/>
        <family val="2"/>
        <charset val="238"/>
      </rPr>
      <t xml:space="preserve"> subsp. </t>
    </r>
    <r>
      <rPr>
        <i/>
        <sz val="11"/>
        <color rgb="FF000000"/>
        <rFont val="Calibri"/>
        <family val="2"/>
        <charset val="238"/>
      </rPr>
      <t>aestivum</t>
    </r>
  </si>
  <si>
    <t>Allium atropurpureum</t>
  </si>
  <si>
    <r>
      <rPr>
        <i/>
        <sz val="11"/>
        <color rgb="FF000000"/>
        <rFont val="Calibri"/>
        <family val="2"/>
        <charset val="238"/>
      </rPr>
      <t>Scilla</t>
    </r>
    <r>
      <rPr>
        <sz val="11"/>
        <color rgb="FF000000"/>
        <rFont val="Calibri"/>
        <family val="2"/>
        <charset val="238"/>
      </rPr>
      <t xml:space="preserve"> 'Pink Giant'</t>
    </r>
  </si>
  <si>
    <t>Scilla forbesii</t>
  </si>
  <si>
    <t>Scilla luciliae</t>
  </si>
  <si>
    <r>
      <t>Camassia leichtlinii</t>
    </r>
    <r>
      <rPr>
        <sz val="11"/>
        <color rgb="FF000000"/>
        <rFont val="Calibri"/>
        <family val="2"/>
        <charset val="238"/>
      </rPr>
      <t xml:space="preserve"> 'Alba'</t>
    </r>
  </si>
  <si>
    <r>
      <t>Camassia leichtlinii</t>
    </r>
    <r>
      <rPr>
        <sz val="11"/>
        <color rgb="FF000000"/>
        <rFont val="Calibri"/>
        <family val="2"/>
        <charset val="238"/>
      </rPr>
      <t xml:space="preserve"> subsp. </t>
    </r>
    <r>
      <rPr>
        <i/>
        <sz val="11"/>
        <color rgb="FF000000"/>
        <rFont val="Calibri"/>
        <family val="2"/>
        <charset val="238"/>
      </rPr>
      <t>suksdorfii</t>
    </r>
  </si>
  <si>
    <t>Z 3.3.3  založení záhonu pod střechou kavárny na štěrkové rýze HDV</t>
  </si>
  <si>
    <t>počet ks</t>
  </si>
  <si>
    <t>TRVALKY</t>
  </si>
  <si>
    <r>
      <t>Deschampsia cespitosa</t>
    </r>
    <r>
      <rPr>
        <sz val="11"/>
        <color rgb="FF000000"/>
        <rFont val="Calibri"/>
        <family val="2"/>
        <charset val="238"/>
      </rPr>
      <t xml:space="preserve"> 'Waldschatt', P9</t>
    </r>
  </si>
  <si>
    <r>
      <t>Molinia caerulea</t>
    </r>
    <r>
      <rPr>
        <sz val="11"/>
        <color rgb="FF000000"/>
        <rFont val="Calibri"/>
        <family val="2"/>
        <charset val="238"/>
      </rPr>
      <t xml:space="preserve"> subsp. </t>
    </r>
    <r>
      <rPr>
        <i/>
        <sz val="11"/>
        <color rgb="FF000000"/>
        <rFont val="Calibri"/>
        <family val="2"/>
        <charset val="238"/>
      </rPr>
      <t>caerulea</t>
    </r>
    <r>
      <rPr>
        <sz val="11"/>
        <color rgb="FF000000"/>
        <rFont val="Calibri"/>
        <family val="2"/>
        <charset val="238"/>
      </rPr>
      <t xml:space="preserve"> 'Dauerstrahl', P9</t>
    </r>
  </si>
  <si>
    <r>
      <t>Polystichum setiferum</t>
    </r>
    <r>
      <rPr>
        <sz val="11"/>
        <color rgb="FF000000"/>
        <rFont val="Calibri"/>
        <family val="2"/>
        <charset val="238"/>
      </rPr>
      <t xml:space="preserve"> 'Herrenhausen', P9</t>
    </r>
  </si>
  <si>
    <t>CIBULOVINY</t>
  </si>
  <si>
    <r>
      <t>Anemone blanda</t>
    </r>
    <r>
      <rPr>
        <sz val="11"/>
        <color rgb="FF000000"/>
        <rFont val="Calibri"/>
        <family val="2"/>
        <charset val="238"/>
      </rPr>
      <t xml:space="preserve"> 'White Splendour', plošně 25 ks/m2/</t>
    </r>
  </si>
  <si>
    <r>
      <t>Leucojum aestivum</t>
    </r>
    <r>
      <rPr>
        <sz val="11"/>
        <color rgb="FF000000"/>
        <rFont val="Calibri"/>
        <family val="2"/>
        <charset val="238"/>
      </rPr>
      <t xml:space="preserve"> subsp. </t>
    </r>
    <r>
      <rPr>
        <i/>
        <sz val="11"/>
        <color rgb="FF000000"/>
        <rFont val="Calibri"/>
        <family val="2"/>
        <charset val="238"/>
      </rPr>
      <t>aestivum</t>
    </r>
    <r>
      <rPr>
        <sz val="11"/>
        <color rgb="FF000000"/>
        <rFont val="Calibri"/>
        <family val="2"/>
        <charset val="238"/>
      </rPr>
      <t>, 13 hnízd po 5 ks</t>
    </r>
  </si>
  <si>
    <t>Z 3.3.4 založení podrostového záhonu obvodového prstence na severní štěrkové rýze HDV /viz. technologie Z 3.5.1/</t>
  </si>
  <si>
    <t>sortimenty jsou součástí Z 3.3.1 - a nacenila bych tam i výsadbu</t>
  </si>
  <si>
    <t>v ceně je dodávka fošen a roxorů</t>
  </si>
  <si>
    <t xml:space="preserve">OCH OP 3.5_  AIR SONDY (HDV IO 201, SO 06, SO 08 a 09) </t>
  </si>
  <si>
    <t>Sondážní rýhy do požadovaných hloubek</t>
  </si>
  <si>
    <t>ALN SPS _ Alnus späethii_olše Späthova_VK ok 18-20, bal        3 ks</t>
  </si>
  <si>
    <t>QUE ROB_ Quercus robur_dub letní _VK ok 18-20, bal               3 ks</t>
  </si>
  <si>
    <r>
      <t>Řez keřů  - vyvětvení (</t>
    </r>
    <r>
      <rPr>
        <strike/>
        <sz val="10"/>
        <rFont val="Arial Narrow"/>
        <family val="2"/>
        <charset val="238"/>
      </rPr>
      <t xml:space="preserve">ZMLAZENÍ  </t>
    </r>
    <r>
      <rPr>
        <sz val="10"/>
        <rFont val="Arial Narrow"/>
        <family val="2"/>
        <charset val="238"/>
      </rPr>
      <t>PRŮKLEST A VYKMENĚNÍ)</t>
    </r>
  </si>
  <si>
    <r>
      <t>Řez keřů  - přesadba +  (</t>
    </r>
    <r>
      <rPr>
        <strike/>
        <sz val="10"/>
        <rFont val="Arial Narrow"/>
        <family val="2"/>
        <charset val="238"/>
      </rPr>
      <t>ZMLAZENÍ</t>
    </r>
    <r>
      <rPr>
        <sz val="10"/>
        <rFont val="Arial Narrow"/>
        <family val="2"/>
        <charset val="238"/>
      </rPr>
      <t xml:space="preserve"> PRŮKLEST A VYKMENĚNÍ)Řez keřů  - přesadba +  (</t>
    </r>
    <r>
      <rPr>
        <strike/>
        <sz val="10"/>
        <rFont val="Arial Narrow"/>
        <family val="2"/>
        <charset val="238"/>
      </rPr>
      <t>ZMLAZENÍ</t>
    </r>
    <r>
      <rPr>
        <sz val="10"/>
        <rFont val="Arial Narrow"/>
        <family val="2"/>
        <charset val="238"/>
      </rPr>
      <t xml:space="preserve"> PRŮKLEST A VYKMENĚNÍ)</t>
    </r>
  </si>
  <si>
    <t>Popis: Zajištění prokořenitelného prostoru (součástí jiné části dokumentace HDV  IO 201) v plochách mlatu pomocí strukturálního substrátu.</t>
  </si>
  <si>
    <t>Horní štěrkový zásyp ostrohranným štěrkem fr. 16/32 je součástí jiné části dokumentace (technologie  SO 04 Pochozí polopropustné povrchy )</t>
  </si>
  <si>
    <t>Popis: Zajištění prokořenitelného prostoru  (součástí jiné části dokumentace HDV  IO 201)  v plochách mlatu pomocí strukturálního substrátu.</t>
  </si>
  <si>
    <t>Popis: Zajištění prokořenitelného prostoru (součástí jiné části dokumentace HDV  IO 201)  v plochách mlatu pomocí strukturálního substrátu.</t>
  </si>
  <si>
    <r>
      <rPr>
        <b/>
        <sz val="10"/>
        <rFont val="Arial Narrow"/>
        <family val="2"/>
        <charset val="238"/>
      </rPr>
      <t>Instalace ochranného límce</t>
    </r>
    <r>
      <rPr>
        <sz val="10"/>
        <rFont val="Arial Narrow"/>
        <family val="2"/>
        <charset val="238"/>
      </rPr>
      <t xml:space="preserve"> z plechu tl. 6 mm, výška 450 mm, Ø 300 mm, kotveno na ocelové trny Ø10 mm, dl. 550 mm, přivařeno, zaraženo 300 mm do balu, atypické řešení. Obvod límce 0,94m; 0,423m2  plechu, nátěr (2x půlkruh se závlačkami)</t>
    </r>
  </si>
  <si>
    <r>
      <t xml:space="preserve">Popis: </t>
    </r>
    <r>
      <rPr>
        <sz val="10"/>
        <rFont val="Arial Narrow"/>
        <family val="2"/>
        <charset val="238"/>
      </rPr>
      <t xml:space="preserve">Výsadba nové aleje severní hrany se zajištěním lepšího stanoviště prokořenitelnou rýhou se strukturálním substrátem (zhotovení samotné rýhy je jiná technologie VU Z.3.5.1 - založení severní štěrkové rýhy a prokořenitelného prostoru). Obě technologie probíhají současně.  </t>
    </r>
  </si>
  <si>
    <r>
      <t xml:space="preserve">Popis: </t>
    </r>
    <r>
      <rPr>
        <sz val="10"/>
        <rFont val="Arial Narrow"/>
        <family val="2"/>
        <charset val="238"/>
      </rPr>
      <t>Výsadba stromů na vrcholky, bulty do lužního periodicky zaplavovaného záhonu zhotoveného na rýze ( průlehu s podzemní konstrukcí)  HDV.</t>
    </r>
  </si>
  <si>
    <t xml:space="preserve">Příprava stanoviště - výsadba stromu bude provedena po dokončení spodních konstrukcí průlehu HDV(součástí jiné části dokumentace HDV  IO 201) . Na dno jámy bude ještě předem uložena kari síť 100x100x6mm o rozměrech 2x2 s úvazky jako podklad pro zemní kotvy stromového balu. Úvazky budou vytaženy nad HDV vrstvy. Samotné zhotovení bultů je jiná technologie VU Z.3.3.2 - založení periodicky zaplavovaného záhonu výsadbou. Obě technologie VU probíhají současně.  </t>
  </si>
  <si>
    <t>cer can VCK_Cercis canadensis _zmarlika_ Vícekmen !!! 200-250, 4x přesazen bal – 8 ks</t>
  </si>
  <si>
    <r>
      <t xml:space="preserve">Sníženiny – Trvalky: kontryhel - </t>
    </r>
    <r>
      <rPr>
        <i/>
        <sz val="10"/>
        <rFont val="Arial Narrow"/>
        <family val="2"/>
        <charset val="238"/>
      </rPr>
      <t xml:space="preserve">Alchemilla mollis, </t>
    </r>
    <r>
      <rPr>
        <sz val="10"/>
        <rFont val="Arial Narrow"/>
        <family val="2"/>
        <charset val="238"/>
      </rPr>
      <t>pryšec -</t>
    </r>
    <r>
      <rPr>
        <i/>
        <sz val="10"/>
        <rFont val="Arial Narrow"/>
        <family val="2"/>
        <charset val="238"/>
      </rPr>
      <t xml:space="preserve"> Euphorbia palustris, </t>
    </r>
    <r>
      <rPr>
        <sz val="10"/>
        <rFont val="Arial Narrow"/>
        <family val="2"/>
        <charset val="238"/>
      </rPr>
      <t xml:space="preserve">kosatec - </t>
    </r>
    <r>
      <rPr>
        <i/>
        <sz val="10"/>
        <rFont val="Arial Narrow"/>
        <family val="2"/>
        <charset val="238"/>
      </rPr>
      <t xml:space="preserve">Iris pseudacorus, </t>
    </r>
    <r>
      <rPr>
        <sz val="10"/>
        <rFont val="Arial Narrow"/>
        <family val="2"/>
        <charset val="238"/>
      </rPr>
      <t xml:space="preserve">vrbina - </t>
    </r>
    <r>
      <rPr>
        <i/>
        <sz val="10"/>
        <rFont val="Arial Narrow"/>
        <family val="2"/>
        <charset val="238"/>
      </rPr>
      <t xml:space="preserve">Lysimachia nummularia, </t>
    </r>
    <r>
      <rPr>
        <sz val="10"/>
        <rFont val="Arial Narrow"/>
        <family val="2"/>
        <charset val="238"/>
      </rPr>
      <t>kyprej -</t>
    </r>
    <r>
      <rPr>
        <i/>
        <sz val="10"/>
        <rFont val="Arial Narrow"/>
        <family val="2"/>
        <charset val="238"/>
      </rPr>
      <t xml:space="preserve"> Lythrum virgatum, </t>
    </r>
    <r>
      <rPr>
        <sz val="10"/>
        <rFont val="Arial Narrow"/>
        <family val="2"/>
        <charset val="238"/>
      </rPr>
      <t>řetězovka -</t>
    </r>
    <r>
      <rPr>
        <i/>
        <sz val="10"/>
        <rFont val="Arial Narrow"/>
        <family val="2"/>
        <charset val="238"/>
      </rPr>
      <t xml:space="preserve"> Physostegia virginiana, </t>
    </r>
    <r>
      <rPr>
        <sz val="10"/>
        <rFont val="Arial Narrow"/>
        <family val="2"/>
        <charset val="238"/>
      </rPr>
      <t xml:space="preserve">jirnice - </t>
    </r>
    <r>
      <rPr>
        <i/>
        <sz val="10"/>
        <rFont val="Arial Narrow"/>
        <family val="2"/>
        <charset val="238"/>
      </rPr>
      <t xml:space="preserve">Polemonium caeruleum, </t>
    </r>
    <r>
      <rPr>
        <sz val="10"/>
        <rFont val="Arial Narrow"/>
        <family val="2"/>
        <charset val="238"/>
      </rPr>
      <t>upolín -</t>
    </r>
    <r>
      <rPr>
        <i/>
        <sz val="10"/>
        <rFont val="Arial Narrow"/>
        <family val="2"/>
        <charset val="238"/>
      </rPr>
      <t xml:space="preserve"> Trollius europaeus, </t>
    </r>
    <r>
      <rPr>
        <sz val="10"/>
        <rFont val="Arial Narrow"/>
        <family val="2"/>
        <charset val="238"/>
      </rPr>
      <t>upolín -</t>
    </r>
    <r>
      <rPr>
        <i/>
        <sz val="10"/>
        <rFont val="Arial Narrow"/>
        <family val="2"/>
        <charset val="238"/>
      </rPr>
      <t xml:space="preserve"> Trollius chinensis; </t>
    </r>
    <r>
      <rPr>
        <sz val="10"/>
        <rFont val="Arial Narrow"/>
        <family val="2"/>
        <charset val="238"/>
      </rPr>
      <t xml:space="preserve">Cibuloviny: bledule - </t>
    </r>
    <r>
      <rPr>
        <i/>
        <sz val="10"/>
        <rFont val="Arial Narrow"/>
        <family val="2"/>
        <charset val="238"/>
      </rPr>
      <t>Leucojum aestivum</t>
    </r>
    <r>
      <rPr>
        <sz val="10"/>
        <rFont val="Arial Narrow"/>
        <family val="2"/>
        <charset val="238"/>
      </rPr>
      <t xml:space="preserve"> subsp. </t>
    </r>
    <r>
      <rPr>
        <i/>
        <sz val="10"/>
        <rFont val="Arial Narrow"/>
        <family val="2"/>
        <charset val="238"/>
      </rPr>
      <t xml:space="preserve">aestivumSníženiny – Trvalky: kontryhel - Alchemilla mollis, </t>
    </r>
    <r>
      <rPr>
        <sz val="10"/>
        <rFont val="Arial Narrow"/>
        <family val="2"/>
        <charset val="238"/>
      </rPr>
      <t>pryšec -</t>
    </r>
    <r>
      <rPr>
        <i/>
        <sz val="10"/>
        <rFont val="Arial Narrow"/>
        <family val="2"/>
        <charset val="238"/>
      </rPr>
      <t xml:space="preserve"> Euphorbia palustris, </t>
    </r>
    <r>
      <rPr>
        <sz val="10"/>
        <rFont val="Arial Narrow"/>
        <family val="2"/>
        <charset val="238"/>
      </rPr>
      <t xml:space="preserve">kosatec - </t>
    </r>
    <r>
      <rPr>
        <i/>
        <sz val="10"/>
        <rFont val="Arial Narrow"/>
        <family val="2"/>
        <charset val="238"/>
      </rPr>
      <t xml:space="preserve">Iris pseudacorus, </t>
    </r>
    <r>
      <rPr>
        <sz val="10"/>
        <rFont val="Arial Narrow"/>
        <family val="2"/>
        <charset val="238"/>
      </rPr>
      <t xml:space="preserve">vrbina - </t>
    </r>
    <r>
      <rPr>
        <i/>
        <sz val="10"/>
        <rFont val="Arial Narrow"/>
        <family val="2"/>
        <charset val="238"/>
      </rPr>
      <t xml:space="preserve">Lysimachia nummularia, </t>
    </r>
    <r>
      <rPr>
        <sz val="10"/>
        <rFont val="Arial Narrow"/>
        <family val="2"/>
        <charset val="238"/>
      </rPr>
      <t>kyprej -</t>
    </r>
    <r>
      <rPr>
        <i/>
        <sz val="10"/>
        <rFont val="Arial Narrow"/>
        <family val="2"/>
        <charset val="238"/>
      </rPr>
      <t xml:space="preserve"> Lythrum virgatum, </t>
    </r>
    <r>
      <rPr>
        <sz val="10"/>
        <rFont val="Arial Narrow"/>
        <family val="2"/>
        <charset val="238"/>
      </rPr>
      <t>řetězovka -</t>
    </r>
    <r>
      <rPr>
        <i/>
        <sz val="10"/>
        <rFont val="Arial Narrow"/>
        <family val="2"/>
        <charset val="238"/>
      </rPr>
      <t xml:space="preserve"> Physostegia virginiana, </t>
    </r>
    <r>
      <rPr>
        <sz val="10"/>
        <rFont val="Arial Narrow"/>
        <family val="2"/>
        <charset val="238"/>
      </rPr>
      <t xml:space="preserve">jirnice - </t>
    </r>
    <r>
      <rPr>
        <i/>
        <sz val="10"/>
        <rFont val="Arial Narrow"/>
        <family val="2"/>
        <charset val="238"/>
      </rPr>
      <t xml:space="preserve">Polemonium caeruleum, </t>
    </r>
    <r>
      <rPr>
        <sz val="10"/>
        <rFont val="Arial Narrow"/>
        <family val="2"/>
        <charset val="238"/>
      </rPr>
      <t>upolín -</t>
    </r>
    <r>
      <rPr>
        <i/>
        <sz val="10"/>
        <rFont val="Arial Narrow"/>
        <family val="2"/>
        <charset val="238"/>
      </rPr>
      <t xml:space="preserve"> Trollius europaeus, </t>
    </r>
    <r>
      <rPr>
        <sz val="10"/>
        <rFont val="Arial Narrow"/>
        <family val="2"/>
        <charset val="238"/>
      </rPr>
      <t>upolín -</t>
    </r>
    <r>
      <rPr>
        <i/>
        <sz val="10"/>
        <rFont val="Arial Narrow"/>
        <family val="2"/>
        <charset val="238"/>
      </rPr>
      <t xml:space="preserve"> Trollius chinensis; </t>
    </r>
    <r>
      <rPr>
        <sz val="10"/>
        <rFont val="Arial Narrow"/>
        <family val="2"/>
        <charset val="238"/>
      </rPr>
      <t xml:space="preserve">Cibuloviny: bledule - </t>
    </r>
    <r>
      <rPr>
        <i/>
        <sz val="10"/>
        <rFont val="Arial Narrow"/>
        <family val="2"/>
        <charset val="238"/>
      </rPr>
      <t>Leucojum aestivum</t>
    </r>
    <r>
      <rPr>
        <sz val="10"/>
        <rFont val="Arial Narrow"/>
        <family val="2"/>
        <charset val="238"/>
      </rPr>
      <t xml:space="preserve"> subsp. </t>
    </r>
    <r>
      <rPr>
        <i/>
        <sz val="10"/>
        <rFont val="Arial Narrow"/>
        <family val="2"/>
        <charset val="238"/>
      </rPr>
      <t xml:space="preserve">aestivumSníženiny – Trvalky: kontryhel - Alchemilla mollis, </t>
    </r>
    <r>
      <rPr>
        <sz val="10"/>
        <rFont val="Arial Narrow"/>
        <family val="2"/>
        <charset val="238"/>
      </rPr>
      <t>pryšec -</t>
    </r>
    <r>
      <rPr>
        <i/>
        <sz val="10"/>
        <rFont val="Arial Narrow"/>
        <family val="2"/>
        <charset val="238"/>
      </rPr>
      <t xml:space="preserve"> Euphorbia palustris, </t>
    </r>
    <r>
      <rPr>
        <sz val="10"/>
        <rFont val="Arial Narrow"/>
        <family val="2"/>
        <charset val="238"/>
      </rPr>
      <t xml:space="preserve">kosatec - </t>
    </r>
    <r>
      <rPr>
        <i/>
        <sz val="10"/>
        <rFont val="Arial Narrow"/>
        <family val="2"/>
        <charset val="238"/>
      </rPr>
      <t xml:space="preserve">Iris pseudacorus, </t>
    </r>
    <r>
      <rPr>
        <sz val="10"/>
        <rFont val="Arial Narrow"/>
        <family val="2"/>
        <charset val="238"/>
      </rPr>
      <t xml:space="preserve">vrbina - </t>
    </r>
    <r>
      <rPr>
        <i/>
        <sz val="10"/>
        <rFont val="Arial Narrow"/>
        <family val="2"/>
        <charset val="238"/>
      </rPr>
      <t xml:space="preserve">Lysimachia nummularia, </t>
    </r>
    <r>
      <rPr>
        <sz val="10"/>
        <rFont val="Arial Narrow"/>
        <family val="2"/>
        <charset val="238"/>
      </rPr>
      <t>kyprej -</t>
    </r>
    <r>
      <rPr>
        <i/>
        <sz val="10"/>
        <rFont val="Arial Narrow"/>
        <family val="2"/>
        <charset val="238"/>
      </rPr>
      <t xml:space="preserve"> Lythrum virgatum, </t>
    </r>
    <r>
      <rPr>
        <sz val="10"/>
        <rFont val="Arial Narrow"/>
        <family val="2"/>
        <charset val="238"/>
      </rPr>
      <t>řetězovka -</t>
    </r>
    <r>
      <rPr>
        <i/>
        <sz val="10"/>
        <rFont val="Arial Narrow"/>
        <family val="2"/>
        <charset val="238"/>
      </rPr>
      <t xml:space="preserve"> Physostegia virginiana, </t>
    </r>
    <r>
      <rPr>
        <sz val="10"/>
        <rFont val="Arial Narrow"/>
        <family val="2"/>
        <charset val="238"/>
      </rPr>
      <t xml:space="preserve">jirnice - </t>
    </r>
    <r>
      <rPr>
        <i/>
        <sz val="10"/>
        <rFont val="Arial Narrow"/>
        <family val="2"/>
        <charset val="238"/>
      </rPr>
      <t xml:space="preserve">Polemonium caeruleum, </t>
    </r>
    <r>
      <rPr>
        <sz val="10"/>
        <rFont val="Arial Narrow"/>
        <family val="2"/>
        <charset val="238"/>
      </rPr>
      <t>upolín -</t>
    </r>
    <r>
      <rPr>
        <i/>
        <sz val="10"/>
        <rFont val="Arial Narrow"/>
        <family val="2"/>
        <charset val="238"/>
      </rPr>
      <t xml:space="preserve"> Trollius europaeus, </t>
    </r>
    <r>
      <rPr>
        <sz val="10"/>
        <rFont val="Arial Narrow"/>
        <family val="2"/>
        <charset val="238"/>
      </rPr>
      <t>upolín -</t>
    </r>
    <r>
      <rPr>
        <i/>
        <sz val="10"/>
        <rFont val="Arial Narrow"/>
        <family val="2"/>
        <charset val="238"/>
      </rPr>
      <t xml:space="preserve"> Trollius chinensis; </t>
    </r>
    <r>
      <rPr>
        <sz val="10"/>
        <rFont val="Arial Narrow"/>
        <family val="2"/>
        <charset val="238"/>
      </rPr>
      <t xml:space="preserve">Cibuloviny: bledule - </t>
    </r>
    <r>
      <rPr>
        <i/>
        <sz val="10"/>
        <rFont val="Arial Narrow"/>
        <family val="2"/>
        <charset val="238"/>
      </rPr>
      <t>Leucojum aestivum</t>
    </r>
    <r>
      <rPr>
        <sz val="10"/>
        <rFont val="Arial Narrow"/>
        <family val="2"/>
        <charset val="238"/>
      </rPr>
      <t xml:space="preserve"> subsp. </t>
    </r>
    <r>
      <rPr>
        <i/>
        <sz val="10"/>
        <rFont val="Arial Narrow"/>
        <family val="2"/>
        <charset val="238"/>
      </rPr>
      <t>aestivum</t>
    </r>
  </si>
  <si>
    <r>
      <t xml:space="preserve">Přechodová zóna – Trvalky: kontryhel - </t>
    </r>
    <r>
      <rPr>
        <i/>
        <sz val="10"/>
        <rFont val="Arial Narrow"/>
        <family val="2"/>
        <charset val="238"/>
      </rPr>
      <t xml:space="preserve">Alchemilla mollis, </t>
    </r>
    <r>
      <rPr>
        <sz val="10"/>
        <rFont val="Arial Narrow"/>
        <family val="2"/>
        <charset val="238"/>
      </rPr>
      <t>hvězdnice -</t>
    </r>
    <r>
      <rPr>
        <i/>
        <sz val="10"/>
        <rFont val="Arial Narrow"/>
        <family val="2"/>
        <charset val="238"/>
      </rPr>
      <t xml:space="preserve"> Aster novae-angliae</t>
    </r>
    <r>
      <rPr>
        <sz val="10"/>
        <rFont val="Arial Narrow"/>
        <family val="2"/>
        <charset val="238"/>
      </rPr>
      <t xml:space="preserve"> 'Herbstschnee', hvězdnice - </t>
    </r>
    <r>
      <rPr>
        <i/>
        <sz val="10"/>
        <rFont val="Arial Narrow"/>
        <family val="2"/>
        <charset val="238"/>
      </rPr>
      <t>Aster novae-angliae</t>
    </r>
    <r>
      <rPr>
        <sz val="10"/>
        <rFont val="Arial Narrow"/>
        <family val="2"/>
        <charset val="238"/>
      </rPr>
      <t xml:space="preserve"> 'Rubinschatz', záplevák - </t>
    </r>
    <r>
      <rPr>
        <i/>
        <sz val="10"/>
        <rFont val="Arial Narrow"/>
        <family val="2"/>
        <charset val="238"/>
      </rPr>
      <t>Helenium</t>
    </r>
    <r>
      <rPr>
        <sz val="10"/>
        <rFont val="Arial Narrow"/>
        <family val="2"/>
        <charset val="238"/>
      </rPr>
      <t xml:space="preserve"> 'Moerheim Beauty', bezkolenec - </t>
    </r>
    <r>
      <rPr>
        <i/>
        <sz val="10"/>
        <rFont val="Arial Narrow"/>
        <family val="2"/>
        <charset val="238"/>
      </rPr>
      <t xml:space="preserve">Molinia caerulea, </t>
    </r>
    <r>
      <rPr>
        <sz val="10"/>
        <rFont val="Arial Narrow"/>
        <family val="2"/>
        <charset val="238"/>
      </rPr>
      <t xml:space="preserve">třapatka - </t>
    </r>
    <r>
      <rPr>
        <i/>
        <sz val="10"/>
        <rFont val="Arial Narrow"/>
        <family val="2"/>
        <charset val="238"/>
      </rPr>
      <t>Rudbeckia fulgida</t>
    </r>
    <r>
      <rPr>
        <sz val="10"/>
        <rFont val="Arial Narrow"/>
        <family val="2"/>
        <charset val="238"/>
      </rPr>
      <t xml:space="preserve"> var. </t>
    </r>
    <r>
      <rPr>
        <i/>
        <sz val="10"/>
        <rFont val="Arial Narrow"/>
        <family val="2"/>
        <charset val="238"/>
      </rPr>
      <t xml:space="preserve">speciosa; </t>
    </r>
    <r>
      <rPr>
        <sz val="10"/>
        <rFont val="Arial Narrow"/>
        <family val="2"/>
        <charset val="238"/>
      </rPr>
      <t>Cibuloviny: ladoňka -</t>
    </r>
    <r>
      <rPr>
        <i/>
        <sz val="10"/>
        <rFont val="Arial Narrow"/>
        <family val="2"/>
        <charset val="238"/>
      </rPr>
      <t xml:space="preserve"> Scilla</t>
    </r>
    <r>
      <rPr>
        <sz val="10"/>
        <rFont val="Arial Narrow"/>
        <family val="2"/>
        <charset val="238"/>
      </rPr>
      <t xml:space="preserve"> 'Pink Giant', ladoňka - </t>
    </r>
    <r>
      <rPr>
        <i/>
        <sz val="10"/>
        <rFont val="Arial Narrow"/>
        <family val="2"/>
        <charset val="238"/>
      </rPr>
      <t xml:space="preserve">Scilla forbesii, </t>
    </r>
    <r>
      <rPr>
        <sz val="10"/>
        <rFont val="Arial Narrow"/>
        <family val="2"/>
        <charset val="238"/>
      </rPr>
      <t xml:space="preserve">ladoňka - </t>
    </r>
    <r>
      <rPr>
        <i/>
        <sz val="10"/>
        <rFont val="Arial Narrow"/>
        <family val="2"/>
        <charset val="238"/>
      </rPr>
      <t>Scilla luciliae, Camassia leichtlinii</t>
    </r>
    <r>
      <rPr>
        <sz val="10"/>
        <rFont val="Arial Narrow"/>
        <family val="2"/>
        <charset val="238"/>
      </rPr>
      <t xml:space="preserve"> 'Alba', </t>
    </r>
    <r>
      <rPr>
        <i/>
        <sz val="10"/>
        <rFont val="Arial Narrow"/>
        <family val="2"/>
        <charset val="238"/>
      </rPr>
      <t>Camassia leichtlinii</t>
    </r>
    <r>
      <rPr>
        <sz val="10"/>
        <rFont val="Arial Narrow"/>
        <family val="2"/>
        <charset val="238"/>
      </rPr>
      <t xml:space="preserve"> subsp. </t>
    </r>
    <r>
      <rPr>
        <i/>
        <sz val="10"/>
        <rFont val="Arial Narrow"/>
        <family val="2"/>
        <charset val="238"/>
      </rPr>
      <t xml:space="preserve">suksdorfiiPřechodová zóna – Trvalky: kontryhel - Alchemilla mollis, </t>
    </r>
    <r>
      <rPr>
        <sz val="10"/>
        <rFont val="Arial Narrow"/>
        <family val="2"/>
        <charset val="238"/>
      </rPr>
      <t>hvězdnice -</t>
    </r>
    <r>
      <rPr>
        <i/>
        <sz val="10"/>
        <rFont val="Arial Narrow"/>
        <family val="2"/>
        <charset val="238"/>
      </rPr>
      <t xml:space="preserve"> Aster novae-angliae</t>
    </r>
    <r>
      <rPr>
        <sz val="10"/>
        <rFont val="Arial Narrow"/>
        <family val="2"/>
        <charset val="238"/>
      </rPr>
      <t xml:space="preserve"> 'Herbstschnee', hvězdnice - </t>
    </r>
    <r>
      <rPr>
        <i/>
        <sz val="10"/>
        <rFont val="Arial Narrow"/>
        <family val="2"/>
        <charset val="238"/>
      </rPr>
      <t>Aster novae-angliae</t>
    </r>
    <r>
      <rPr>
        <sz val="10"/>
        <rFont val="Arial Narrow"/>
        <family val="2"/>
        <charset val="238"/>
      </rPr>
      <t xml:space="preserve"> 'Rubinschatz', záplevák - </t>
    </r>
    <r>
      <rPr>
        <i/>
        <sz val="10"/>
        <rFont val="Arial Narrow"/>
        <family val="2"/>
        <charset val="238"/>
      </rPr>
      <t>Helenium</t>
    </r>
    <r>
      <rPr>
        <sz val="10"/>
        <rFont val="Arial Narrow"/>
        <family val="2"/>
        <charset val="238"/>
      </rPr>
      <t xml:space="preserve"> 'Moerheim Beauty', bezkolenec - </t>
    </r>
    <r>
      <rPr>
        <i/>
        <sz val="10"/>
        <rFont val="Arial Narrow"/>
        <family val="2"/>
        <charset val="238"/>
      </rPr>
      <t xml:space="preserve">Molinia caerulea, </t>
    </r>
    <r>
      <rPr>
        <sz val="10"/>
        <rFont val="Arial Narrow"/>
        <family val="2"/>
        <charset val="238"/>
      </rPr>
      <t xml:space="preserve">třapatka - </t>
    </r>
    <r>
      <rPr>
        <i/>
        <sz val="10"/>
        <rFont val="Arial Narrow"/>
        <family val="2"/>
        <charset val="238"/>
      </rPr>
      <t>Rudbeckia fulgida</t>
    </r>
    <r>
      <rPr>
        <sz val="10"/>
        <rFont val="Arial Narrow"/>
        <family val="2"/>
        <charset val="238"/>
      </rPr>
      <t xml:space="preserve"> var. </t>
    </r>
    <r>
      <rPr>
        <i/>
        <sz val="10"/>
        <rFont val="Arial Narrow"/>
        <family val="2"/>
        <charset val="238"/>
      </rPr>
      <t xml:space="preserve">speciosa; </t>
    </r>
    <r>
      <rPr>
        <sz val="10"/>
        <rFont val="Arial Narrow"/>
        <family val="2"/>
        <charset val="238"/>
      </rPr>
      <t>Cibuloviny: ladoňka -</t>
    </r>
    <r>
      <rPr>
        <i/>
        <sz val="10"/>
        <rFont val="Arial Narrow"/>
        <family val="2"/>
        <charset val="238"/>
      </rPr>
      <t xml:space="preserve"> Scilla</t>
    </r>
    <r>
      <rPr>
        <sz val="10"/>
        <rFont val="Arial Narrow"/>
        <family val="2"/>
        <charset val="238"/>
      </rPr>
      <t xml:space="preserve"> 'Pink Giant', ladoňka - </t>
    </r>
    <r>
      <rPr>
        <i/>
        <sz val="10"/>
        <rFont val="Arial Narrow"/>
        <family val="2"/>
        <charset val="238"/>
      </rPr>
      <t xml:space="preserve">Scilla forbesii, </t>
    </r>
    <r>
      <rPr>
        <sz val="10"/>
        <rFont val="Arial Narrow"/>
        <family val="2"/>
        <charset val="238"/>
      </rPr>
      <t xml:space="preserve">ladoňka - </t>
    </r>
    <r>
      <rPr>
        <i/>
        <sz val="10"/>
        <rFont val="Arial Narrow"/>
        <family val="2"/>
        <charset val="238"/>
      </rPr>
      <t>Scilla luciliae, Camassia leichtlinii</t>
    </r>
    <r>
      <rPr>
        <sz val="10"/>
        <rFont val="Arial Narrow"/>
        <family val="2"/>
        <charset val="238"/>
      </rPr>
      <t xml:space="preserve"> 'Alba', </t>
    </r>
    <r>
      <rPr>
        <i/>
        <sz val="10"/>
        <rFont val="Arial Narrow"/>
        <family val="2"/>
        <charset val="238"/>
      </rPr>
      <t>Camassia leichtlinii</t>
    </r>
    <r>
      <rPr>
        <sz val="10"/>
        <rFont val="Arial Narrow"/>
        <family val="2"/>
        <charset val="238"/>
      </rPr>
      <t xml:space="preserve"> subsp. </t>
    </r>
    <r>
      <rPr>
        <i/>
        <sz val="10"/>
        <rFont val="Arial Narrow"/>
        <family val="2"/>
        <charset val="238"/>
      </rPr>
      <t xml:space="preserve">suksdorfiiPřechodová zóna – Trvalky: kontryhel - Alchemilla mollis, </t>
    </r>
    <r>
      <rPr>
        <sz val="10"/>
        <rFont val="Arial Narrow"/>
        <family val="2"/>
        <charset val="238"/>
      </rPr>
      <t>hvězdnice -</t>
    </r>
    <r>
      <rPr>
        <i/>
        <sz val="10"/>
        <rFont val="Arial Narrow"/>
        <family val="2"/>
        <charset val="238"/>
      </rPr>
      <t xml:space="preserve"> Aster novae-angliae</t>
    </r>
    <r>
      <rPr>
        <sz val="10"/>
        <rFont val="Arial Narrow"/>
        <family val="2"/>
        <charset val="238"/>
      </rPr>
      <t xml:space="preserve"> 'Herbstschnee', hvězdnice - </t>
    </r>
    <r>
      <rPr>
        <i/>
        <sz val="10"/>
        <rFont val="Arial Narrow"/>
        <family val="2"/>
        <charset val="238"/>
      </rPr>
      <t>Aster novae-angliae</t>
    </r>
    <r>
      <rPr>
        <sz val="10"/>
        <rFont val="Arial Narrow"/>
        <family val="2"/>
        <charset val="238"/>
      </rPr>
      <t xml:space="preserve"> 'Rubinschatz', záplevák - </t>
    </r>
    <r>
      <rPr>
        <i/>
        <sz val="10"/>
        <rFont val="Arial Narrow"/>
        <family val="2"/>
        <charset val="238"/>
      </rPr>
      <t>Helenium</t>
    </r>
    <r>
      <rPr>
        <sz val="10"/>
        <rFont val="Arial Narrow"/>
        <family val="2"/>
        <charset val="238"/>
      </rPr>
      <t xml:space="preserve"> 'Moerheim Beauty', bezkolenec - </t>
    </r>
    <r>
      <rPr>
        <i/>
        <sz val="10"/>
        <rFont val="Arial Narrow"/>
        <family val="2"/>
        <charset val="238"/>
      </rPr>
      <t xml:space="preserve">Molinia caerulea, </t>
    </r>
    <r>
      <rPr>
        <sz val="10"/>
        <rFont val="Arial Narrow"/>
        <family val="2"/>
        <charset val="238"/>
      </rPr>
      <t xml:space="preserve">třapatka - </t>
    </r>
    <r>
      <rPr>
        <i/>
        <sz val="10"/>
        <rFont val="Arial Narrow"/>
        <family val="2"/>
        <charset val="238"/>
      </rPr>
      <t>Rudbeckia fulgida</t>
    </r>
    <r>
      <rPr>
        <sz val="10"/>
        <rFont val="Arial Narrow"/>
        <family val="2"/>
        <charset val="238"/>
      </rPr>
      <t xml:space="preserve"> var. </t>
    </r>
    <r>
      <rPr>
        <i/>
        <sz val="10"/>
        <rFont val="Arial Narrow"/>
        <family val="2"/>
        <charset val="238"/>
      </rPr>
      <t xml:space="preserve">speciosa; </t>
    </r>
    <r>
      <rPr>
        <sz val="10"/>
        <rFont val="Arial Narrow"/>
        <family val="2"/>
        <charset val="238"/>
      </rPr>
      <t>Cibuloviny: ladoňka -</t>
    </r>
    <r>
      <rPr>
        <i/>
        <sz val="10"/>
        <rFont val="Arial Narrow"/>
        <family val="2"/>
        <charset val="238"/>
      </rPr>
      <t xml:space="preserve"> Scilla</t>
    </r>
    <r>
      <rPr>
        <sz val="10"/>
        <rFont val="Arial Narrow"/>
        <family val="2"/>
        <charset val="238"/>
      </rPr>
      <t xml:space="preserve"> 'Pink Giant', ladoňka - </t>
    </r>
    <r>
      <rPr>
        <i/>
        <sz val="10"/>
        <rFont val="Arial Narrow"/>
        <family val="2"/>
        <charset val="238"/>
      </rPr>
      <t xml:space="preserve">Scilla forbesii, </t>
    </r>
    <r>
      <rPr>
        <sz val="10"/>
        <rFont val="Arial Narrow"/>
        <family val="2"/>
        <charset val="238"/>
      </rPr>
      <t xml:space="preserve">ladoňka - </t>
    </r>
    <r>
      <rPr>
        <i/>
        <sz val="10"/>
        <rFont val="Arial Narrow"/>
        <family val="2"/>
        <charset val="238"/>
      </rPr>
      <t>Scilla luciliae, Camassia leichtlinii</t>
    </r>
    <r>
      <rPr>
        <sz val="10"/>
        <rFont val="Arial Narrow"/>
        <family val="2"/>
        <charset val="238"/>
      </rPr>
      <t xml:space="preserve"> 'Alba', </t>
    </r>
    <r>
      <rPr>
        <i/>
        <sz val="10"/>
        <rFont val="Arial Narrow"/>
        <family val="2"/>
        <charset val="238"/>
      </rPr>
      <t>Camassia leichtlinii</t>
    </r>
    <r>
      <rPr>
        <sz val="10"/>
        <rFont val="Arial Narrow"/>
        <family val="2"/>
        <charset val="238"/>
      </rPr>
      <t xml:space="preserve"> subsp. </t>
    </r>
    <r>
      <rPr>
        <i/>
        <sz val="10"/>
        <rFont val="Arial Narrow"/>
        <family val="2"/>
        <charset val="238"/>
      </rPr>
      <t>suksdorfii</t>
    </r>
  </si>
  <si>
    <r>
      <t>Vyvýšeniny – Trvalky: sasanka –</t>
    </r>
    <r>
      <rPr>
        <i/>
        <sz val="10"/>
        <rFont val="Arial Narrow"/>
        <family val="2"/>
        <charset val="238"/>
      </rPr>
      <t xml:space="preserve"> Anemone sylvestris, </t>
    </r>
    <r>
      <rPr>
        <sz val="10"/>
        <rFont val="Arial Narrow"/>
        <family val="2"/>
        <charset val="238"/>
      </rPr>
      <t>hvězdnice -</t>
    </r>
    <r>
      <rPr>
        <i/>
        <sz val="10"/>
        <rFont val="Arial Narrow"/>
        <family val="2"/>
        <charset val="238"/>
      </rPr>
      <t xml:space="preserve"> Aster</t>
    </r>
    <r>
      <rPr>
        <sz val="10"/>
        <rFont val="Arial Narrow"/>
        <family val="2"/>
        <charset val="238"/>
      </rPr>
      <t xml:space="preserve"> 'Pink Star', krásnoočko - </t>
    </r>
    <r>
      <rPr>
        <i/>
        <sz val="10"/>
        <rFont val="Arial Narrow"/>
        <family val="2"/>
        <charset val="238"/>
      </rPr>
      <t>Coreopsis verticillata</t>
    </r>
    <r>
      <rPr>
        <sz val="10"/>
        <rFont val="Arial Narrow"/>
        <family val="2"/>
        <charset val="238"/>
      </rPr>
      <t xml:space="preserve"> 'Grandiflora', třapatkovka - </t>
    </r>
    <r>
      <rPr>
        <i/>
        <sz val="10"/>
        <rFont val="Arial Narrow"/>
        <family val="2"/>
        <charset val="238"/>
      </rPr>
      <t xml:space="preserve">Echinacea pallida, Pycnanthemum virginianum, </t>
    </r>
    <r>
      <rPr>
        <sz val="10"/>
        <rFont val="Arial Narrow"/>
        <family val="2"/>
        <charset val="238"/>
      </rPr>
      <t xml:space="preserve">vousatice - </t>
    </r>
    <r>
      <rPr>
        <i/>
        <sz val="10"/>
        <rFont val="Arial Narrow"/>
        <family val="2"/>
        <charset val="238"/>
      </rPr>
      <t>Schizachyrium scoparium, šalvěj - Salvia</t>
    </r>
    <r>
      <rPr>
        <sz val="10"/>
        <rFont val="Arial Narrow"/>
        <family val="2"/>
        <charset val="238"/>
      </rPr>
      <t xml:space="preserve"> × </t>
    </r>
    <r>
      <rPr>
        <i/>
        <sz val="10"/>
        <rFont val="Arial Narrow"/>
        <family val="2"/>
        <charset val="238"/>
      </rPr>
      <t>sylvestris</t>
    </r>
    <r>
      <rPr>
        <sz val="10"/>
        <rFont val="Arial Narrow"/>
        <family val="2"/>
        <charset val="238"/>
      </rPr>
      <t xml:space="preserve"> 'Viola Klose' , divizna - </t>
    </r>
    <r>
      <rPr>
        <i/>
        <sz val="10"/>
        <rFont val="Arial Narrow"/>
        <family val="2"/>
        <charset val="238"/>
      </rPr>
      <t xml:space="preserve">Verbascum nigrum; </t>
    </r>
    <r>
      <rPr>
        <sz val="10"/>
        <rFont val="Arial Narrow"/>
        <family val="2"/>
        <charset val="238"/>
      </rPr>
      <t>Cibuloviny: česnek -</t>
    </r>
    <r>
      <rPr>
        <i/>
        <sz val="10"/>
        <rFont val="Arial Narrow"/>
        <family val="2"/>
        <charset val="238"/>
      </rPr>
      <t xml:space="preserve"> Allium atropurpureumVyvýšeniny – Trvalky: sasanka – Anemone sylvestris, </t>
    </r>
    <r>
      <rPr>
        <sz val="10"/>
        <rFont val="Arial Narrow"/>
        <family val="2"/>
        <charset val="238"/>
      </rPr>
      <t>hvězdnice -</t>
    </r>
    <r>
      <rPr>
        <i/>
        <sz val="10"/>
        <rFont val="Arial Narrow"/>
        <family val="2"/>
        <charset val="238"/>
      </rPr>
      <t xml:space="preserve"> Aster</t>
    </r>
    <r>
      <rPr>
        <sz val="10"/>
        <rFont val="Arial Narrow"/>
        <family val="2"/>
        <charset val="238"/>
      </rPr>
      <t xml:space="preserve"> 'Pink Star', krásnoočko - </t>
    </r>
    <r>
      <rPr>
        <i/>
        <sz val="10"/>
        <rFont val="Arial Narrow"/>
        <family val="2"/>
        <charset val="238"/>
      </rPr>
      <t>Coreopsis verticillata</t>
    </r>
    <r>
      <rPr>
        <sz val="10"/>
        <rFont val="Arial Narrow"/>
        <family val="2"/>
        <charset val="238"/>
      </rPr>
      <t xml:space="preserve"> 'Grandiflora', třapatkovka - </t>
    </r>
    <r>
      <rPr>
        <i/>
        <sz val="10"/>
        <rFont val="Arial Narrow"/>
        <family val="2"/>
        <charset val="238"/>
      </rPr>
      <t xml:space="preserve">Echinacea pallida, Pycnanthemum virginianum, </t>
    </r>
    <r>
      <rPr>
        <sz val="10"/>
        <rFont val="Arial Narrow"/>
        <family val="2"/>
        <charset val="238"/>
      </rPr>
      <t xml:space="preserve">vousatice - </t>
    </r>
    <r>
      <rPr>
        <i/>
        <sz val="10"/>
        <rFont val="Arial Narrow"/>
        <family val="2"/>
        <charset val="238"/>
      </rPr>
      <t>Schizachyrium scoparium, šalvěj - Salvia</t>
    </r>
    <r>
      <rPr>
        <sz val="10"/>
        <rFont val="Arial Narrow"/>
        <family val="2"/>
        <charset val="238"/>
      </rPr>
      <t xml:space="preserve"> × </t>
    </r>
    <r>
      <rPr>
        <i/>
        <sz val="10"/>
        <rFont val="Arial Narrow"/>
        <family val="2"/>
        <charset val="238"/>
      </rPr>
      <t>sylvestris</t>
    </r>
    <r>
      <rPr>
        <sz val="10"/>
        <rFont val="Arial Narrow"/>
        <family val="2"/>
        <charset val="238"/>
      </rPr>
      <t xml:space="preserve"> 'Viola Klose' , divizna - </t>
    </r>
    <r>
      <rPr>
        <i/>
        <sz val="10"/>
        <rFont val="Arial Narrow"/>
        <family val="2"/>
        <charset val="238"/>
      </rPr>
      <t xml:space="preserve">Verbascum nigrum; </t>
    </r>
    <r>
      <rPr>
        <sz val="10"/>
        <rFont val="Arial Narrow"/>
        <family val="2"/>
        <charset val="238"/>
      </rPr>
      <t>Cibuloviny: česnek -</t>
    </r>
    <r>
      <rPr>
        <i/>
        <sz val="10"/>
        <rFont val="Arial Narrow"/>
        <family val="2"/>
        <charset val="238"/>
      </rPr>
      <t xml:space="preserve"> Allium atropurpureumVyvýšeniny – Trvalky: sasanka – Anemone sylvestris, </t>
    </r>
    <r>
      <rPr>
        <sz val="10"/>
        <rFont val="Arial Narrow"/>
        <family val="2"/>
        <charset val="238"/>
      </rPr>
      <t>hvězdnice -</t>
    </r>
    <r>
      <rPr>
        <i/>
        <sz val="10"/>
        <rFont val="Arial Narrow"/>
        <family val="2"/>
        <charset val="238"/>
      </rPr>
      <t xml:space="preserve"> Aster</t>
    </r>
    <r>
      <rPr>
        <sz val="10"/>
        <rFont val="Arial Narrow"/>
        <family val="2"/>
        <charset val="238"/>
      </rPr>
      <t xml:space="preserve"> 'Pink Star', krásnoočko - </t>
    </r>
    <r>
      <rPr>
        <i/>
        <sz val="10"/>
        <rFont val="Arial Narrow"/>
        <family val="2"/>
        <charset val="238"/>
      </rPr>
      <t>Coreopsis verticillata</t>
    </r>
    <r>
      <rPr>
        <sz val="10"/>
        <rFont val="Arial Narrow"/>
        <family val="2"/>
        <charset val="238"/>
      </rPr>
      <t xml:space="preserve"> 'Grandiflora', třapatkovka - </t>
    </r>
    <r>
      <rPr>
        <i/>
        <sz val="10"/>
        <rFont val="Arial Narrow"/>
        <family val="2"/>
        <charset val="238"/>
      </rPr>
      <t xml:space="preserve">Echinacea pallida, Pycnanthemum virginianum, </t>
    </r>
    <r>
      <rPr>
        <sz val="10"/>
        <rFont val="Arial Narrow"/>
        <family val="2"/>
        <charset val="238"/>
      </rPr>
      <t xml:space="preserve">vousatice - </t>
    </r>
    <r>
      <rPr>
        <i/>
        <sz val="10"/>
        <rFont val="Arial Narrow"/>
        <family val="2"/>
        <charset val="238"/>
      </rPr>
      <t>Schizachyrium scoparium, šalvěj - Salvia</t>
    </r>
    <r>
      <rPr>
        <sz val="10"/>
        <rFont val="Arial Narrow"/>
        <family val="2"/>
        <charset val="238"/>
      </rPr>
      <t xml:space="preserve"> × </t>
    </r>
    <r>
      <rPr>
        <i/>
        <sz val="10"/>
        <rFont val="Arial Narrow"/>
        <family val="2"/>
        <charset val="238"/>
      </rPr>
      <t>sylvestris</t>
    </r>
    <r>
      <rPr>
        <sz val="10"/>
        <rFont val="Arial Narrow"/>
        <family val="2"/>
        <charset val="238"/>
      </rPr>
      <t xml:space="preserve"> 'Viola Klose' , divizna - </t>
    </r>
    <r>
      <rPr>
        <i/>
        <sz val="10"/>
        <rFont val="Arial Narrow"/>
        <family val="2"/>
        <charset val="238"/>
      </rPr>
      <t xml:space="preserve">Verbascum nigrum; </t>
    </r>
    <r>
      <rPr>
        <sz val="10"/>
        <rFont val="Arial Narrow"/>
        <family val="2"/>
        <charset val="238"/>
      </rPr>
      <t>Cibuloviny: česnek -</t>
    </r>
    <r>
      <rPr>
        <i/>
        <sz val="10"/>
        <rFont val="Arial Narrow"/>
        <family val="2"/>
        <charset val="238"/>
      </rPr>
      <t xml:space="preserve"> Allium atropurpureum</t>
    </r>
  </si>
  <si>
    <r>
      <t>Sortiment: Trvalky: metlice -</t>
    </r>
    <r>
      <rPr>
        <i/>
        <sz val="10"/>
        <rFont val="Arial Narrow"/>
        <family val="2"/>
        <charset val="238"/>
      </rPr>
      <t xml:space="preserve"> Deschampsia caespitosa</t>
    </r>
    <r>
      <rPr>
        <sz val="10"/>
        <rFont val="Arial Narrow"/>
        <family val="2"/>
        <charset val="238"/>
      </rPr>
      <t xml:space="preserve"> 'Waldschatt', bezkolenec - </t>
    </r>
    <r>
      <rPr>
        <i/>
        <sz val="10"/>
        <rFont val="Arial Narrow"/>
        <family val="2"/>
        <charset val="238"/>
      </rPr>
      <t>Molinia caerulea</t>
    </r>
    <r>
      <rPr>
        <sz val="10"/>
        <rFont val="Arial Narrow"/>
        <family val="2"/>
        <charset val="238"/>
      </rPr>
      <t xml:space="preserve"> subsp. </t>
    </r>
    <r>
      <rPr>
        <i/>
        <sz val="10"/>
        <rFont val="Arial Narrow"/>
        <family val="2"/>
        <charset val="238"/>
      </rPr>
      <t>caerulea</t>
    </r>
    <r>
      <rPr>
        <sz val="10"/>
        <rFont val="Arial Narrow"/>
        <family val="2"/>
        <charset val="238"/>
      </rPr>
      <t xml:space="preserve"> 'Dauerstrahl', kapradina - </t>
    </r>
    <r>
      <rPr>
        <i/>
        <sz val="10"/>
        <rFont val="Arial Narrow"/>
        <family val="2"/>
        <charset val="238"/>
      </rPr>
      <t>Polystichum setiferum</t>
    </r>
    <r>
      <rPr>
        <sz val="10"/>
        <rFont val="Arial Narrow"/>
        <family val="2"/>
        <charset val="238"/>
      </rPr>
      <t xml:space="preserve"> 'Herrenhausen'; Cibuloviny: sasanka - </t>
    </r>
    <r>
      <rPr>
        <i/>
        <sz val="10"/>
        <rFont val="Arial Narrow"/>
        <family val="2"/>
        <charset val="238"/>
      </rPr>
      <t>Anemone blanda</t>
    </r>
    <r>
      <rPr>
        <sz val="10"/>
        <rFont val="Arial Narrow"/>
        <family val="2"/>
        <charset val="238"/>
      </rPr>
      <t xml:space="preserve"> 'White Splendour', bledule - </t>
    </r>
    <r>
      <rPr>
        <i/>
        <sz val="10"/>
        <rFont val="Arial Narrow"/>
        <family val="2"/>
        <charset val="238"/>
      </rPr>
      <t>Leucojum aestivum</t>
    </r>
    <r>
      <rPr>
        <sz val="10"/>
        <rFont val="Arial Narrow"/>
        <family val="2"/>
        <charset val="238"/>
      </rPr>
      <t xml:space="preserve"> subsp. </t>
    </r>
    <r>
      <rPr>
        <i/>
        <sz val="10"/>
        <rFont val="Arial Narrow"/>
        <family val="2"/>
        <charset val="238"/>
      </rPr>
      <t>aestivum</t>
    </r>
  </si>
  <si>
    <r>
      <t>Následuje plošné rozprostření horní vrstvy - externě míchané směsi místní zeminy a písku fr 2/4 mm v poměru 2:1 o mocnosti 30 mm. Uválcování. Aplikace NPK hnojiva s inhibitorem nitrifikace DMPP v dávce 30 g/m</t>
    </r>
    <r>
      <rPr>
        <vertAlign val="superscript"/>
        <sz val="10"/>
        <rFont val="Arial Narrow"/>
        <family val="2"/>
        <charset val="238"/>
      </rPr>
      <t>2</t>
    </r>
    <r>
      <rPr>
        <sz val="10"/>
        <rFont val="Arial Narrow"/>
        <family val="2"/>
        <charset val="238"/>
      </rPr>
      <t xml:space="preserve"> (viz Specifikace použitých materiálů).</t>
    </r>
  </si>
  <si>
    <r>
      <t>Výsev – Výsev trávníku doporučeno uskutečnit od poloviny srpna do konce září, nebo na jaře od poloviny dubna do konce května. Výsevek 30 g/m</t>
    </r>
    <r>
      <rPr>
        <vertAlign val="superscript"/>
        <sz val="10"/>
        <rFont val="Arial Narrow"/>
        <family val="2"/>
        <charset val="238"/>
      </rPr>
      <t>2</t>
    </r>
    <r>
      <rPr>
        <sz val="10"/>
        <rFont val="Arial Narrow"/>
        <family val="2"/>
        <charset val="238"/>
      </rPr>
      <t>. Po výsevu bude osivo zapraveno do hloubky 5-10 mm. Následně uválet a zalít dávkou 10 l/m2. V případě otevření parku veřejnosti před termínem převzetí trávníku je nutné zajistit ochranu osetých ploch před sešlapem.</t>
    </r>
  </si>
  <si>
    <r>
      <t>Sortiment: bylinný trávník RSM 2.4, složení: Trávy 96%: Psineček obecný (</t>
    </r>
    <r>
      <rPr>
        <i/>
        <sz val="10"/>
        <rFont val="Arial Narrow"/>
        <family val="2"/>
        <charset val="238"/>
      </rPr>
      <t>Agrostis capillaris</t>
    </r>
    <r>
      <rPr>
        <sz val="10"/>
        <rFont val="Arial Narrow"/>
        <family val="2"/>
        <charset val="238"/>
      </rPr>
      <t xml:space="preserve"> 'Polana') 3%, Poháňka hřebenitá (</t>
    </r>
    <r>
      <rPr>
        <i/>
        <sz val="10"/>
        <rFont val="Arial Narrow"/>
        <family val="2"/>
        <charset val="238"/>
      </rPr>
      <t>Cynosurus cristatus</t>
    </r>
    <r>
      <rPr>
        <sz val="10"/>
        <rFont val="Arial Narrow"/>
        <family val="2"/>
        <charset val="238"/>
      </rPr>
      <t xml:space="preserve"> 'Rožnovská') 7%, Kostřava červená pravá (</t>
    </r>
    <r>
      <rPr>
        <i/>
        <sz val="10"/>
        <rFont val="Arial Narrow"/>
        <family val="2"/>
        <charset val="238"/>
      </rPr>
      <t>Festuca rubra rubra</t>
    </r>
    <r>
      <rPr>
        <sz val="10"/>
        <rFont val="Arial Narrow"/>
        <family val="2"/>
        <charset val="238"/>
      </rPr>
      <t xml:space="preserve"> 'Tagera') 36%, Kostřava červená (</t>
    </r>
    <r>
      <rPr>
        <i/>
        <sz val="10"/>
        <rFont val="Arial Narrow"/>
        <family val="2"/>
        <charset val="238"/>
      </rPr>
      <t>Festuca rubra trichophylla</t>
    </r>
    <r>
      <rPr>
        <sz val="10"/>
        <rFont val="Arial Narrow"/>
        <family val="2"/>
        <charset val="238"/>
      </rPr>
      <t xml:space="preserve"> 'Viktorka') 15%, Kostřava červená trsnatá (</t>
    </r>
    <r>
      <rPr>
        <i/>
        <sz val="10"/>
        <rFont val="Arial Narrow"/>
        <family val="2"/>
        <charset val="238"/>
      </rPr>
      <t>Festuca rubra commutata</t>
    </r>
    <r>
      <rPr>
        <sz val="10"/>
        <rFont val="Arial Narrow"/>
        <family val="2"/>
        <charset val="238"/>
      </rPr>
      <t xml:space="preserve"> 'Zulu') 10%, Kostřava drsnolistá (</t>
    </r>
    <r>
      <rPr>
        <i/>
        <sz val="10"/>
        <rFont val="Arial Narrow"/>
        <family val="2"/>
        <charset val="238"/>
      </rPr>
      <t>Festuca trachyphylla</t>
    </r>
    <r>
      <rPr>
        <sz val="10"/>
        <rFont val="Arial Narrow"/>
        <family val="2"/>
        <charset val="238"/>
      </rPr>
      <t xml:space="preserve"> 'Dorotka') 10%, Lipnice luční (</t>
    </r>
    <r>
      <rPr>
        <i/>
        <sz val="10"/>
        <rFont val="Arial Narrow"/>
        <family val="2"/>
        <charset val="238"/>
      </rPr>
      <t xml:space="preserve">Poa pratensis </t>
    </r>
    <r>
      <rPr>
        <sz val="10"/>
        <rFont val="Arial Narrow"/>
        <family val="2"/>
        <charset val="238"/>
      </rPr>
      <t>'Balin') 15%Sortiment: bylinný trávník RSM 2.4, složení: Trávy 96%: Psineček obecný (</t>
    </r>
    <r>
      <rPr>
        <i/>
        <sz val="10"/>
        <rFont val="Arial Narrow"/>
        <family val="2"/>
        <charset val="238"/>
      </rPr>
      <t>Agrostis capillaris</t>
    </r>
    <r>
      <rPr>
        <sz val="10"/>
        <rFont val="Arial Narrow"/>
        <family val="2"/>
        <charset val="238"/>
      </rPr>
      <t xml:space="preserve"> 'Polana') 3%, Poháňka hřebenitá (</t>
    </r>
    <r>
      <rPr>
        <i/>
        <sz val="10"/>
        <rFont val="Arial Narrow"/>
        <family val="2"/>
        <charset val="238"/>
      </rPr>
      <t>Cynosurus cristatus</t>
    </r>
    <r>
      <rPr>
        <sz val="10"/>
        <rFont val="Arial Narrow"/>
        <family val="2"/>
        <charset val="238"/>
      </rPr>
      <t xml:space="preserve"> 'Rožnovská') 7%, Kostřava červená pravá (</t>
    </r>
    <r>
      <rPr>
        <i/>
        <sz val="10"/>
        <rFont val="Arial Narrow"/>
        <family val="2"/>
        <charset val="238"/>
      </rPr>
      <t>Festuca rubra rubra</t>
    </r>
    <r>
      <rPr>
        <sz val="10"/>
        <rFont val="Arial Narrow"/>
        <family val="2"/>
        <charset val="238"/>
      </rPr>
      <t xml:space="preserve"> 'Tagera') 36%, Kostřava červená (</t>
    </r>
    <r>
      <rPr>
        <i/>
        <sz val="10"/>
        <rFont val="Arial Narrow"/>
        <family val="2"/>
        <charset val="238"/>
      </rPr>
      <t>Festuca rubra trichophylla</t>
    </r>
    <r>
      <rPr>
        <sz val="10"/>
        <rFont val="Arial Narrow"/>
        <family val="2"/>
        <charset val="238"/>
      </rPr>
      <t xml:space="preserve"> 'Viktorka') 15%, Kostřava červená trsnatá (</t>
    </r>
    <r>
      <rPr>
        <i/>
        <sz val="10"/>
        <rFont val="Arial Narrow"/>
        <family val="2"/>
        <charset val="238"/>
      </rPr>
      <t>Festuca rubra commutata</t>
    </r>
    <r>
      <rPr>
        <sz val="10"/>
        <rFont val="Arial Narrow"/>
        <family val="2"/>
        <charset val="238"/>
      </rPr>
      <t xml:space="preserve"> 'Zulu') 10%, Kostřava drsnolistá (</t>
    </r>
    <r>
      <rPr>
        <i/>
        <sz val="10"/>
        <rFont val="Arial Narrow"/>
        <family val="2"/>
        <charset val="238"/>
      </rPr>
      <t>Festuca trachyphylla</t>
    </r>
    <r>
      <rPr>
        <sz val="10"/>
        <rFont val="Arial Narrow"/>
        <family val="2"/>
        <charset val="238"/>
      </rPr>
      <t xml:space="preserve"> 'Dorotka') 10%, Lipnice luční (</t>
    </r>
    <r>
      <rPr>
        <i/>
        <sz val="10"/>
        <rFont val="Arial Narrow"/>
        <family val="2"/>
        <charset val="238"/>
      </rPr>
      <t xml:space="preserve">Poa pratensis </t>
    </r>
    <r>
      <rPr>
        <sz val="10"/>
        <rFont val="Arial Narrow"/>
        <family val="2"/>
        <charset val="238"/>
      </rPr>
      <t>'Balin') 15%</t>
    </r>
  </si>
  <si>
    <r>
      <t>Byliny 3,5%: Řebříček obecný (</t>
    </r>
    <r>
      <rPr>
        <i/>
        <sz val="10"/>
        <rFont val="Arial Narrow"/>
        <family val="2"/>
        <charset val="238"/>
      </rPr>
      <t>Achillea millefolium</t>
    </r>
    <r>
      <rPr>
        <sz val="10"/>
        <rFont val="Arial Narrow"/>
        <family val="2"/>
        <charset val="238"/>
      </rPr>
      <t>) 0,1%, Hvozdík kropenatý (</t>
    </r>
    <r>
      <rPr>
        <i/>
        <sz val="10"/>
        <rFont val="Arial Narrow"/>
        <family val="2"/>
        <charset val="238"/>
      </rPr>
      <t>Dianthus deltoides</t>
    </r>
    <r>
      <rPr>
        <sz val="10"/>
        <rFont val="Arial Narrow"/>
        <family val="2"/>
        <charset val="238"/>
      </rPr>
      <t>) 0,5%, Svízel bílý (</t>
    </r>
    <r>
      <rPr>
        <i/>
        <sz val="10"/>
        <rFont val="Arial Narrow"/>
        <family val="2"/>
        <charset val="238"/>
      </rPr>
      <t>Galium album</t>
    </r>
    <r>
      <rPr>
        <sz val="10"/>
        <rFont val="Arial Narrow"/>
        <family val="2"/>
        <charset val="238"/>
      </rPr>
      <t>) 0,1%, Svízel syřišťový (</t>
    </r>
    <r>
      <rPr>
        <i/>
        <sz val="10"/>
        <rFont val="Arial Narrow"/>
        <family val="2"/>
        <charset val="238"/>
      </rPr>
      <t>Galium verum</t>
    </r>
    <r>
      <rPr>
        <sz val="10"/>
        <rFont val="Arial Narrow"/>
        <family val="2"/>
        <charset val="238"/>
      </rPr>
      <t>) 0,3%, Máchelka srstnatá (</t>
    </r>
    <r>
      <rPr>
        <i/>
        <sz val="10"/>
        <rFont val="Arial Narrow"/>
        <family val="2"/>
        <charset val="238"/>
      </rPr>
      <t>Leontodon hispidus</t>
    </r>
    <r>
      <rPr>
        <sz val="10"/>
        <rFont val="Arial Narrow"/>
        <family val="2"/>
        <charset val="238"/>
      </rPr>
      <t>) 0,2%, Kopretina bílá (</t>
    </r>
    <r>
      <rPr>
        <i/>
        <sz val="10"/>
        <rFont val="Arial Narrow"/>
        <family val="2"/>
        <charset val="238"/>
      </rPr>
      <t>Leucanthemum vulgare</t>
    </r>
    <r>
      <rPr>
        <sz val="10"/>
        <rFont val="Arial Narrow"/>
        <family val="2"/>
        <charset val="238"/>
      </rPr>
      <t>) 0,5%, Jitrocel prostřední (</t>
    </r>
    <r>
      <rPr>
        <i/>
        <sz val="10"/>
        <rFont val="Arial Narrow"/>
        <family val="2"/>
        <charset val="238"/>
      </rPr>
      <t>Plantago media</t>
    </r>
    <r>
      <rPr>
        <sz val="10"/>
        <rFont val="Arial Narrow"/>
        <family val="2"/>
        <charset val="238"/>
      </rPr>
      <t>) 0,3%, Černohlávek obecný (</t>
    </r>
    <r>
      <rPr>
        <i/>
        <sz val="10"/>
        <rFont val="Arial Narrow"/>
        <family val="2"/>
        <charset val="238"/>
      </rPr>
      <t>Prunella vulgaris</t>
    </r>
    <r>
      <rPr>
        <sz val="10"/>
        <rFont val="Arial Narrow"/>
        <family val="2"/>
        <charset val="238"/>
      </rPr>
      <t>) 0,7%, Pryskyřník hlíznatý (</t>
    </r>
    <r>
      <rPr>
        <i/>
        <sz val="10"/>
        <rFont val="Arial Narrow"/>
        <family val="2"/>
        <charset val="238"/>
      </rPr>
      <t>Ranunculus bulbosus</t>
    </r>
    <r>
      <rPr>
        <sz val="10"/>
        <rFont val="Arial Narrow"/>
        <family val="2"/>
        <charset val="238"/>
      </rPr>
      <t>) 0,2%, Krvavec menší (</t>
    </r>
    <r>
      <rPr>
        <i/>
        <sz val="10"/>
        <rFont val="Arial Narrow"/>
        <family val="2"/>
        <charset val="238"/>
      </rPr>
      <t>Sanguisorba minor</t>
    </r>
    <r>
      <rPr>
        <sz val="10"/>
        <rFont val="Arial Narrow"/>
        <family val="2"/>
        <charset val="238"/>
      </rPr>
      <t>) 0,2%, Mateřídouška vejčitá (</t>
    </r>
    <r>
      <rPr>
        <i/>
        <sz val="10"/>
        <rFont val="Arial Narrow"/>
        <family val="2"/>
        <charset val="238"/>
      </rPr>
      <t>Thymus pulegioides</t>
    </r>
    <r>
      <rPr>
        <sz val="10"/>
        <rFont val="Arial Narrow"/>
        <family val="2"/>
        <charset val="238"/>
      </rPr>
      <t>) 0,4%, Jeteloviny 0,5%: Štírovník růžkatý (</t>
    </r>
    <r>
      <rPr>
        <i/>
        <sz val="10"/>
        <rFont val="Arial Narrow"/>
        <family val="2"/>
        <charset val="238"/>
      </rPr>
      <t>Lotus corniculatus</t>
    </r>
    <r>
      <rPr>
        <sz val="10"/>
        <rFont val="Arial Narrow"/>
        <family val="2"/>
        <charset val="238"/>
      </rPr>
      <t xml:space="preserve"> 'Táborák') 0,2%, Tolice dětelová (</t>
    </r>
    <r>
      <rPr>
        <i/>
        <sz val="10"/>
        <rFont val="Arial Narrow"/>
        <family val="2"/>
        <charset val="238"/>
      </rPr>
      <t>Medicago lupulina</t>
    </r>
    <r>
      <rPr>
        <sz val="10"/>
        <rFont val="Arial Narrow"/>
        <family val="2"/>
        <charset val="238"/>
      </rPr>
      <t xml:space="preserve"> 'Ekola') 0,2%, Jetel plazivý (</t>
    </r>
    <r>
      <rPr>
        <i/>
        <sz val="10"/>
        <rFont val="Arial Narrow"/>
        <family val="2"/>
        <charset val="238"/>
      </rPr>
      <t>Trifolium repens</t>
    </r>
    <r>
      <rPr>
        <sz val="10"/>
        <rFont val="Arial Narrow"/>
        <family val="2"/>
        <charset val="238"/>
      </rPr>
      <t xml:space="preserve"> 'Pirouette') 0,1%Byliny 3,5%: Řebříček obecný (</t>
    </r>
    <r>
      <rPr>
        <i/>
        <sz val="10"/>
        <rFont val="Arial Narrow"/>
        <family val="2"/>
        <charset val="238"/>
      </rPr>
      <t>Achillea millefolium</t>
    </r>
    <r>
      <rPr>
        <sz val="10"/>
        <rFont val="Arial Narrow"/>
        <family val="2"/>
        <charset val="238"/>
      </rPr>
      <t>) 0,1%, Hvozdík kropenatý (</t>
    </r>
    <r>
      <rPr>
        <i/>
        <sz val="10"/>
        <rFont val="Arial Narrow"/>
        <family val="2"/>
        <charset val="238"/>
      </rPr>
      <t>Dianthus deltoides</t>
    </r>
    <r>
      <rPr>
        <sz val="10"/>
        <rFont val="Arial Narrow"/>
        <family val="2"/>
        <charset val="238"/>
      </rPr>
      <t>) 0,5%, Svízel bílý (</t>
    </r>
    <r>
      <rPr>
        <i/>
        <sz val="10"/>
        <rFont val="Arial Narrow"/>
        <family val="2"/>
        <charset val="238"/>
      </rPr>
      <t>Galium album</t>
    </r>
    <r>
      <rPr>
        <sz val="10"/>
        <rFont val="Arial Narrow"/>
        <family val="2"/>
        <charset val="238"/>
      </rPr>
      <t>) 0,1%, Svízel syřišťový (</t>
    </r>
    <r>
      <rPr>
        <i/>
        <sz val="10"/>
        <rFont val="Arial Narrow"/>
        <family val="2"/>
        <charset val="238"/>
      </rPr>
      <t>Galium verum</t>
    </r>
    <r>
      <rPr>
        <sz val="10"/>
        <rFont val="Arial Narrow"/>
        <family val="2"/>
        <charset val="238"/>
      </rPr>
      <t>) 0,3%, Máchelka srstnatá (</t>
    </r>
    <r>
      <rPr>
        <i/>
        <sz val="10"/>
        <rFont val="Arial Narrow"/>
        <family val="2"/>
        <charset val="238"/>
      </rPr>
      <t>Leontodon hispidus</t>
    </r>
    <r>
      <rPr>
        <sz val="10"/>
        <rFont val="Arial Narrow"/>
        <family val="2"/>
        <charset val="238"/>
      </rPr>
      <t>) 0,2%, Kopretina bílá (</t>
    </r>
    <r>
      <rPr>
        <i/>
        <sz val="10"/>
        <rFont val="Arial Narrow"/>
        <family val="2"/>
        <charset val="238"/>
      </rPr>
      <t>Leucanthemum vulgare</t>
    </r>
    <r>
      <rPr>
        <sz val="10"/>
        <rFont val="Arial Narrow"/>
        <family val="2"/>
        <charset val="238"/>
      </rPr>
      <t>) 0,5%, Jitrocel prostřední (</t>
    </r>
    <r>
      <rPr>
        <i/>
        <sz val="10"/>
        <rFont val="Arial Narrow"/>
        <family val="2"/>
        <charset val="238"/>
      </rPr>
      <t>Plantago media</t>
    </r>
    <r>
      <rPr>
        <sz val="10"/>
        <rFont val="Arial Narrow"/>
        <family val="2"/>
        <charset val="238"/>
      </rPr>
      <t>) 0,3%, Černohlávek obecný (</t>
    </r>
    <r>
      <rPr>
        <i/>
        <sz val="10"/>
        <rFont val="Arial Narrow"/>
        <family val="2"/>
        <charset val="238"/>
      </rPr>
      <t>Prunella vulgaris</t>
    </r>
    <r>
      <rPr>
        <sz val="10"/>
        <rFont val="Arial Narrow"/>
        <family val="2"/>
        <charset val="238"/>
      </rPr>
      <t>) 0,7%, Pryskyřník hlíznatý (</t>
    </r>
    <r>
      <rPr>
        <i/>
        <sz val="10"/>
        <rFont val="Arial Narrow"/>
        <family val="2"/>
        <charset val="238"/>
      </rPr>
      <t>Ranunculus bulbosus</t>
    </r>
    <r>
      <rPr>
        <sz val="10"/>
        <rFont val="Arial Narrow"/>
        <family val="2"/>
        <charset val="238"/>
      </rPr>
      <t>) 0,2%, Krvavec menší (</t>
    </r>
    <r>
      <rPr>
        <i/>
        <sz val="10"/>
        <rFont val="Arial Narrow"/>
        <family val="2"/>
        <charset val="238"/>
      </rPr>
      <t>Sanguisorba minor</t>
    </r>
    <r>
      <rPr>
        <sz val="10"/>
        <rFont val="Arial Narrow"/>
        <family val="2"/>
        <charset val="238"/>
      </rPr>
      <t>) 0,2%, Mateřídouška vejčitá (</t>
    </r>
    <r>
      <rPr>
        <i/>
        <sz val="10"/>
        <rFont val="Arial Narrow"/>
        <family val="2"/>
        <charset val="238"/>
      </rPr>
      <t>Thymus pulegioides</t>
    </r>
    <r>
      <rPr>
        <sz val="10"/>
        <rFont val="Arial Narrow"/>
        <family val="2"/>
        <charset val="238"/>
      </rPr>
      <t>) 0,4%, Jeteloviny 0,5%: Štírovník růžkatý (</t>
    </r>
    <r>
      <rPr>
        <i/>
        <sz val="10"/>
        <rFont val="Arial Narrow"/>
        <family val="2"/>
        <charset val="238"/>
      </rPr>
      <t>Lotus corniculatus</t>
    </r>
    <r>
      <rPr>
        <sz val="10"/>
        <rFont val="Arial Narrow"/>
        <family val="2"/>
        <charset val="238"/>
      </rPr>
      <t xml:space="preserve"> 'Táborák') 0,2%, Tolice dětelová (</t>
    </r>
    <r>
      <rPr>
        <i/>
        <sz val="10"/>
        <rFont val="Arial Narrow"/>
        <family val="2"/>
        <charset val="238"/>
      </rPr>
      <t>Medicago lupulina</t>
    </r>
    <r>
      <rPr>
        <sz val="10"/>
        <rFont val="Arial Narrow"/>
        <family val="2"/>
        <charset val="238"/>
      </rPr>
      <t xml:space="preserve"> 'Ekola') 0,2%, Jetel plazivý (</t>
    </r>
    <r>
      <rPr>
        <i/>
        <sz val="10"/>
        <rFont val="Arial Narrow"/>
        <family val="2"/>
        <charset val="238"/>
      </rPr>
      <t>Trifolium repens</t>
    </r>
    <r>
      <rPr>
        <sz val="10"/>
        <rFont val="Arial Narrow"/>
        <family val="2"/>
        <charset val="238"/>
      </rPr>
      <t xml:space="preserve"> 'Pirouette') 0,1%</t>
    </r>
  </si>
  <si>
    <r>
      <t>Výsev – Výsev trávníku doporučeno uskutečnit od poloviny srpna do konce září, nebo na jaře od poloviny dubna do konce května. Výsevek 15 g/m</t>
    </r>
    <r>
      <rPr>
        <vertAlign val="superscript"/>
        <sz val="10"/>
        <rFont val="Arial Narrow"/>
        <family val="2"/>
        <charset val="238"/>
      </rPr>
      <t>2</t>
    </r>
    <r>
      <rPr>
        <sz val="10"/>
        <rFont val="Arial Narrow"/>
        <family val="2"/>
        <charset val="238"/>
      </rPr>
      <t>. Po výsevu bude osivo zapraveno do hloubky 5-10 mm. Následně uválet a zalít dávkou 10 l/m2. V případě otevření parku veřejnosti před termínem převzetí trávníku je nutné zajistit ochranu osetých ploch před sešlapem.</t>
    </r>
  </si>
  <si>
    <r>
      <t>Sortiment: bylinný trávník RSM 2.4, složení: Trávy 96%: Psineček obecný (</t>
    </r>
    <r>
      <rPr>
        <i/>
        <sz val="10"/>
        <rFont val="Arial Narrow"/>
        <family val="2"/>
        <charset val="238"/>
      </rPr>
      <t>Agrostis capillaris</t>
    </r>
    <r>
      <rPr>
        <sz val="10"/>
        <rFont val="Arial Narrow"/>
        <family val="2"/>
        <charset val="238"/>
      </rPr>
      <t xml:space="preserve"> 'Polana') 3%, Poháňka hřebenitá (</t>
    </r>
    <r>
      <rPr>
        <i/>
        <sz val="10"/>
        <rFont val="Arial Narrow"/>
        <family val="2"/>
        <charset val="238"/>
      </rPr>
      <t>Cynosurus cristatus</t>
    </r>
    <r>
      <rPr>
        <sz val="10"/>
        <rFont val="Arial Narrow"/>
        <family val="2"/>
        <charset val="238"/>
      </rPr>
      <t xml:space="preserve"> 'Rožnovská') 7%, Kostřava červená pravá (</t>
    </r>
    <r>
      <rPr>
        <i/>
        <sz val="10"/>
        <rFont val="Arial Narrow"/>
        <family val="2"/>
        <charset val="238"/>
      </rPr>
      <t>Festuca rubra rubra</t>
    </r>
    <r>
      <rPr>
        <sz val="10"/>
        <rFont val="Arial Narrow"/>
        <family val="2"/>
        <charset val="238"/>
      </rPr>
      <t xml:space="preserve"> 'Tagera') 36%, Kostřava červená (</t>
    </r>
    <r>
      <rPr>
        <i/>
        <sz val="10"/>
        <rFont val="Arial Narrow"/>
        <family val="2"/>
        <charset val="238"/>
      </rPr>
      <t>Festuca rubra trichophylla</t>
    </r>
    <r>
      <rPr>
        <sz val="10"/>
        <rFont val="Arial Narrow"/>
        <family val="2"/>
        <charset val="238"/>
      </rPr>
      <t xml:space="preserve"> 'Viktorka') 15%, Kostřava červená trsnatá (</t>
    </r>
    <r>
      <rPr>
        <i/>
        <sz val="10"/>
        <rFont val="Arial Narrow"/>
        <family val="2"/>
        <charset val="238"/>
      </rPr>
      <t>Festuca rubra commutata</t>
    </r>
    <r>
      <rPr>
        <sz val="10"/>
        <rFont val="Arial Narrow"/>
        <family val="2"/>
        <charset val="238"/>
      </rPr>
      <t xml:space="preserve"> 'Zulu') 10%, Kostřava drsnolistá (</t>
    </r>
    <r>
      <rPr>
        <i/>
        <sz val="10"/>
        <rFont val="Arial Narrow"/>
        <family val="2"/>
        <charset val="238"/>
      </rPr>
      <t>Festuca trachyphylla</t>
    </r>
    <r>
      <rPr>
        <sz val="10"/>
        <rFont val="Arial Narrow"/>
        <family val="2"/>
        <charset val="238"/>
      </rPr>
      <t xml:space="preserve"> 'Dorotka') 10%, Lipnice luční (</t>
    </r>
    <r>
      <rPr>
        <i/>
        <sz val="10"/>
        <rFont val="Arial Narrow"/>
        <family val="2"/>
        <charset val="238"/>
      </rPr>
      <t xml:space="preserve">Poa pratensis </t>
    </r>
    <r>
      <rPr>
        <sz val="10"/>
        <rFont val="Arial Narrow"/>
        <family val="2"/>
        <charset val="238"/>
      </rPr>
      <t>'Balin') 15%</t>
    </r>
  </si>
  <si>
    <r>
      <t>Byliny 3,5%: Řebříček obecný (</t>
    </r>
    <r>
      <rPr>
        <i/>
        <sz val="10"/>
        <rFont val="Arial Narrow"/>
        <family val="2"/>
        <charset val="238"/>
      </rPr>
      <t>Achillea millefolium</t>
    </r>
    <r>
      <rPr>
        <sz val="10"/>
        <rFont val="Arial Narrow"/>
        <family val="2"/>
        <charset val="238"/>
      </rPr>
      <t>) 0,1%, Hvozdík kropenatý (</t>
    </r>
    <r>
      <rPr>
        <i/>
        <sz val="10"/>
        <rFont val="Arial Narrow"/>
        <family val="2"/>
        <charset val="238"/>
      </rPr>
      <t>Dianthus deltoides</t>
    </r>
    <r>
      <rPr>
        <sz val="10"/>
        <rFont val="Arial Narrow"/>
        <family val="2"/>
        <charset val="238"/>
      </rPr>
      <t>) 0,5%, Svízel bílý (</t>
    </r>
    <r>
      <rPr>
        <i/>
        <sz val="10"/>
        <rFont val="Arial Narrow"/>
        <family val="2"/>
        <charset val="238"/>
      </rPr>
      <t>Galium album</t>
    </r>
    <r>
      <rPr>
        <sz val="10"/>
        <rFont val="Arial Narrow"/>
        <family val="2"/>
        <charset val="238"/>
      </rPr>
      <t>) 0,1%, Svízel syřišťový (</t>
    </r>
    <r>
      <rPr>
        <i/>
        <sz val="10"/>
        <rFont val="Arial Narrow"/>
        <family val="2"/>
        <charset val="238"/>
      </rPr>
      <t>Galium verum</t>
    </r>
    <r>
      <rPr>
        <sz val="10"/>
        <rFont val="Arial Narrow"/>
        <family val="2"/>
        <charset val="238"/>
      </rPr>
      <t>) 0,3%, Máchelka srstnatá (</t>
    </r>
    <r>
      <rPr>
        <i/>
        <sz val="10"/>
        <rFont val="Arial Narrow"/>
        <family val="2"/>
        <charset val="238"/>
      </rPr>
      <t>Leontodon hispidus</t>
    </r>
    <r>
      <rPr>
        <sz val="10"/>
        <rFont val="Arial Narrow"/>
        <family val="2"/>
        <charset val="238"/>
      </rPr>
      <t>) 0,2%, Kopretina bílá (</t>
    </r>
    <r>
      <rPr>
        <i/>
        <sz val="10"/>
        <rFont val="Arial Narrow"/>
        <family val="2"/>
        <charset val="238"/>
      </rPr>
      <t>Leucanthemum vulgare</t>
    </r>
    <r>
      <rPr>
        <sz val="10"/>
        <rFont val="Arial Narrow"/>
        <family val="2"/>
        <charset val="238"/>
      </rPr>
      <t>) 0,5%, Jitrocel prostřední (</t>
    </r>
    <r>
      <rPr>
        <i/>
        <sz val="10"/>
        <rFont val="Arial Narrow"/>
        <family val="2"/>
        <charset val="238"/>
      </rPr>
      <t>Plantago media</t>
    </r>
    <r>
      <rPr>
        <sz val="10"/>
        <rFont val="Arial Narrow"/>
        <family val="2"/>
        <charset val="238"/>
      </rPr>
      <t>) 0,3%, Černohlávek obecný (</t>
    </r>
    <r>
      <rPr>
        <i/>
        <sz val="10"/>
        <rFont val="Arial Narrow"/>
        <family val="2"/>
        <charset val="238"/>
      </rPr>
      <t>Prunella vulgaris</t>
    </r>
    <r>
      <rPr>
        <sz val="10"/>
        <rFont val="Arial Narrow"/>
        <family val="2"/>
        <charset val="238"/>
      </rPr>
      <t>) 0,7%, Pryskyřník hlíznatý (</t>
    </r>
    <r>
      <rPr>
        <i/>
        <sz val="10"/>
        <rFont val="Arial Narrow"/>
        <family val="2"/>
        <charset val="238"/>
      </rPr>
      <t>Ranunculus bulbosus</t>
    </r>
    <r>
      <rPr>
        <sz val="10"/>
        <rFont val="Arial Narrow"/>
        <family val="2"/>
        <charset val="238"/>
      </rPr>
      <t>) 0,2%, Krvavec menší (</t>
    </r>
    <r>
      <rPr>
        <i/>
        <sz val="10"/>
        <rFont val="Arial Narrow"/>
        <family val="2"/>
        <charset val="238"/>
      </rPr>
      <t>Sanguisorba minor</t>
    </r>
    <r>
      <rPr>
        <sz val="10"/>
        <rFont val="Arial Narrow"/>
        <family val="2"/>
        <charset val="238"/>
      </rPr>
      <t>) 0,2%, Mateřídouška vejčitá (</t>
    </r>
    <r>
      <rPr>
        <i/>
        <sz val="10"/>
        <rFont val="Arial Narrow"/>
        <family val="2"/>
        <charset val="238"/>
      </rPr>
      <t>Thymus pulegioides</t>
    </r>
    <r>
      <rPr>
        <sz val="10"/>
        <rFont val="Arial Narrow"/>
        <family val="2"/>
        <charset val="238"/>
      </rPr>
      <t>) 0,4%, Jeteloviny 0,5%: Štírovník růžkatý (</t>
    </r>
    <r>
      <rPr>
        <i/>
        <sz val="10"/>
        <rFont val="Arial Narrow"/>
        <family val="2"/>
        <charset val="238"/>
      </rPr>
      <t>Lotus corniculatus</t>
    </r>
    <r>
      <rPr>
        <sz val="10"/>
        <rFont val="Arial Narrow"/>
        <family val="2"/>
        <charset val="238"/>
      </rPr>
      <t xml:space="preserve"> 'Táborák') 0,2%, Tolice dětelová (</t>
    </r>
    <r>
      <rPr>
        <i/>
        <sz val="10"/>
        <rFont val="Arial Narrow"/>
        <family val="2"/>
        <charset val="238"/>
      </rPr>
      <t>Medicago lupulina</t>
    </r>
    <r>
      <rPr>
        <sz val="10"/>
        <rFont val="Arial Narrow"/>
        <family val="2"/>
        <charset val="238"/>
      </rPr>
      <t xml:space="preserve"> 'Ekola') 0,2%, Jetel plazivý (</t>
    </r>
    <r>
      <rPr>
        <i/>
        <sz val="10"/>
        <rFont val="Arial Narrow"/>
        <family val="2"/>
        <charset val="238"/>
      </rPr>
      <t>Trifolium repens</t>
    </r>
    <r>
      <rPr>
        <sz val="10"/>
        <rFont val="Arial Narrow"/>
        <family val="2"/>
        <charset val="238"/>
      </rPr>
      <t xml:space="preserve"> 'Pirouette') 0,1%</t>
    </r>
  </si>
  <si>
    <r>
      <t>Výsev – Výsevek (5 g/m</t>
    </r>
    <r>
      <rPr>
        <vertAlign val="superscript"/>
        <sz val="10"/>
        <rFont val="Arial Narrow"/>
        <family val="2"/>
        <charset val="238"/>
      </rPr>
      <t xml:space="preserve">2 </t>
    </r>
    <r>
      <rPr>
        <sz val="10"/>
        <rFont val="Arial Narrow"/>
        <family val="2"/>
        <charset val="238"/>
      </rPr>
      <t>dlažby)  před výsevem smíchat s říčním pískem v objemovém poměru min 1:10. Výsev bude proveden od poloviny srpna do konce září, nebo od poloviny dubna do konce května. Osivo bude zapraveno zalitím (10 l/m</t>
    </r>
    <r>
      <rPr>
        <vertAlign val="superscript"/>
        <sz val="10"/>
        <rFont val="Arial Narrow"/>
        <family val="2"/>
        <charset val="238"/>
      </rPr>
      <t>2</t>
    </r>
    <r>
      <rPr>
        <sz val="10"/>
        <rFont val="Arial Narrow"/>
        <family val="2"/>
        <charset val="238"/>
      </rPr>
      <t xml:space="preserve"> dlažby). Klíčícímu a bobtnajícímu osivu zabezpečit v průběhu prvních týdnů dostatečný a pravidelný přísun vláhy pro nástup přirozené půdní kapilarityVýsev – Výsevek (5 g/m</t>
    </r>
    <r>
      <rPr>
        <vertAlign val="superscript"/>
        <sz val="10"/>
        <rFont val="Arial Narrow"/>
        <family val="2"/>
        <charset val="238"/>
      </rPr>
      <t xml:space="preserve">2 </t>
    </r>
    <r>
      <rPr>
        <sz val="10"/>
        <rFont val="Arial Narrow"/>
        <family val="2"/>
        <charset val="238"/>
      </rPr>
      <t>dlažby)  před výsevem smíchat s říčním pískem v objemovém poměru min 1:10. Výsev bude proveden od poloviny srpna do konce září, nebo od poloviny dubna do konce května. Osivo bude zapraveno zalitím (10 l/m</t>
    </r>
    <r>
      <rPr>
        <vertAlign val="superscript"/>
        <sz val="10"/>
        <rFont val="Arial Narrow"/>
        <family val="2"/>
        <charset val="238"/>
      </rPr>
      <t>2</t>
    </r>
    <r>
      <rPr>
        <sz val="10"/>
        <rFont val="Arial Narrow"/>
        <family val="2"/>
        <charset val="238"/>
      </rPr>
      <t xml:space="preserve"> dlažby). Klíčícímu a bobtnajícímu osivu zabezpečit v průběhu prvních týdnů dostatečný a pravidelný přísun vláhy pro nástup přirozené půdní kapilarity</t>
    </r>
  </si>
  <si>
    <r>
      <t>Výměra: celkem 155 m</t>
    </r>
    <r>
      <rPr>
        <vertAlign val="superscript"/>
        <sz val="10"/>
        <rFont val="Arial Narrow"/>
        <family val="2"/>
        <charset val="238"/>
      </rPr>
      <t>2</t>
    </r>
    <r>
      <rPr>
        <sz val="10"/>
        <rFont val="Arial Narrow"/>
        <family val="2"/>
        <charset val="238"/>
      </rPr>
      <t>, Z.3.5a – 127,2 m</t>
    </r>
    <r>
      <rPr>
        <vertAlign val="superscript"/>
        <sz val="10"/>
        <rFont val="Arial Narrow"/>
        <family val="2"/>
        <charset val="238"/>
      </rPr>
      <t>2</t>
    </r>
    <r>
      <rPr>
        <sz val="10"/>
        <rFont val="Arial Narrow"/>
        <family val="2"/>
        <charset val="238"/>
      </rPr>
      <t>, Z.3.5b – 37,3 m</t>
    </r>
    <r>
      <rPr>
        <vertAlign val="superscript"/>
        <sz val="10"/>
        <rFont val="Arial Narrow"/>
        <family val="2"/>
        <charset val="238"/>
      </rPr>
      <t>2</t>
    </r>
  </si>
  <si>
    <r>
      <t>Sortiment: bylinný trávník RSM 2.4,15g/m2 spáryů bylinný trávník RSM 2.4, složení: Trávy 96%: Psineček obecný (</t>
    </r>
    <r>
      <rPr>
        <i/>
        <sz val="10"/>
        <rFont val="Arial Narrow"/>
        <family val="2"/>
        <charset val="238"/>
      </rPr>
      <t>Agrostis capillaris</t>
    </r>
    <r>
      <rPr>
        <sz val="10"/>
        <rFont val="Arial Narrow"/>
        <family val="2"/>
        <charset val="238"/>
      </rPr>
      <t xml:space="preserve"> 'Polana') 3%, Poháňka hřebenitá (</t>
    </r>
    <r>
      <rPr>
        <i/>
        <sz val="10"/>
        <rFont val="Arial Narrow"/>
        <family val="2"/>
        <charset val="238"/>
      </rPr>
      <t>Cynosurus cristatus</t>
    </r>
    <r>
      <rPr>
        <sz val="10"/>
        <rFont val="Arial Narrow"/>
        <family val="2"/>
        <charset val="238"/>
      </rPr>
      <t xml:space="preserve"> 'Rožnovská') 7%, Kostřava červená pravá (</t>
    </r>
    <r>
      <rPr>
        <i/>
        <sz val="10"/>
        <rFont val="Arial Narrow"/>
        <family val="2"/>
        <charset val="238"/>
      </rPr>
      <t>Festuca rubra rubra</t>
    </r>
    <r>
      <rPr>
        <sz val="10"/>
        <rFont val="Arial Narrow"/>
        <family val="2"/>
        <charset val="238"/>
      </rPr>
      <t xml:space="preserve"> 'Tagera') 36%, Kostřava červená (</t>
    </r>
    <r>
      <rPr>
        <i/>
        <sz val="10"/>
        <rFont val="Arial Narrow"/>
        <family val="2"/>
        <charset val="238"/>
      </rPr>
      <t>Festuca rubra trichophylla</t>
    </r>
    <r>
      <rPr>
        <sz val="10"/>
        <rFont val="Arial Narrow"/>
        <family val="2"/>
        <charset val="238"/>
      </rPr>
      <t xml:space="preserve"> 'Viktorka') 15%, Kostřava červená trsnatá (</t>
    </r>
    <r>
      <rPr>
        <i/>
        <sz val="10"/>
        <rFont val="Arial Narrow"/>
        <family val="2"/>
        <charset val="238"/>
      </rPr>
      <t>Festuca rubra commutata</t>
    </r>
    <r>
      <rPr>
        <sz val="10"/>
        <rFont val="Arial Narrow"/>
        <family val="2"/>
        <charset val="238"/>
      </rPr>
      <t xml:space="preserve"> 'Zulu') 10%, Kostřava drsnolistá (</t>
    </r>
    <r>
      <rPr>
        <i/>
        <sz val="10"/>
        <rFont val="Arial Narrow"/>
        <family val="2"/>
        <charset val="238"/>
      </rPr>
      <t>Festuca trachyphylla</t>
    </r>
    <r>
      <rPr>
        <sz val="10"/>
        <rFont val="Arial Narrow"/>
        <family val="2"/>
        <charset val="238"/>
      </rPr>
      <t xml:space="preserve"> 'Dorotka') 10%, Lipnice luční (</t>
    </r>
    <r>
      <rPr>
        <i/>
        <sz val="10"/>
        <rFont val="Arial Narrow"/>
        <family val="2"/>
        <charset val="238"/>
      </rPr>
      <t xml:space="preserve">Poa pratensis </t>
    </r>
    <r>
      <rPr>
        <sz val="10"/>
        <rFont val="Arial Narrow"/>
        <family val="2"/>
        <charset val="238"/>
      </rPr>
      <t>'Balin') 15%</t>
    </r>
  </si>
  <si>
    <r>
      <t>Výsev – Výsev trávníku možný od poloviny srpna do konce září, nebo na jaře od poloviny dubna do konce května. Výsevek (10-15 g/m</t>
    </r>
    <r>
      <rPr>
        <vertAlign val="superscript"/>
        <sz val="10"/>
        <rFont val="Arial Narrow"/>
        <family val="2"/>
        <charset val="238"/>
      </rPr>
      <t>2</t>
    </r>
    <r>
      <rPr>
        <sz val="10"/>
        <rFont val="Arial Narrow"/>
        <family val="2"/>
        <charset val="238"/>
      </rPr>
      <t>) před výsevem smíchat s říčním pískem v objemovém poměru min 1:10. Homogenní směs rozhodit na nezhutněnou horní vrstvu substrátu. Následně plochu nevibračně zhutnit a zalít v dávce 10 l/m</t>
    </r>
    <r>
      <rPr>
        <vertAlign val="superscript"/>
        <sz val="10"/>
        <rFont val="Arial Narrow"/>
        <family val="2"/>
        <charset val="238"/>
      </rPr>
      <t>2</t>
    </r>
    <r>
      <rPr>
        <sz val="10"/>
        <rFont val="Arial Narrow"/>
        <family val="2"/>
        <charset val="238"/>
      </rPr>
      <t>. Zabezpečení dostatečné a pravidelné zálivky v průběhu klíčení a růstu min. do hloubky 50 mm kořenového sytému a zabránění vyschnutí povrchu v průběhu klíčení. Po první seči je vhodné celou plochu opět uválet válcem a nadále zavlažovat dle počasí. Trávník je zcela nepřístupný pro běžné užití po dobu 60 dní od první seče v nejbližším vegetačním období.</t>
    </r>
  </si>
  <si>
    <t>fošna tl.60mm vč. vyvrtání celkem 44ks otvorů pro nasunutí roxoru Řezivo dubové sušené tl 60 mm (vzduchosuché 18-35% vlhk.) - opracované a zhoblované na rozměr 600/300/60mm</t>
  </si>
  <si>
    <r>
      <t>Ochrana půdního povrchu proti zhutnění probíhá položením geotextilie (300 g/m</t>
    </r>
    <r>
      <rPr>
        <vertAlign val="superscript"/>
        <sz val="10"/>
        <rFont val="Arial Narrow"/>
        <family val="2"/>
        <charset val="238"/>
      </rPr>
      <t>2</t>
    </r>
    <r>
      <rPr>
        <sz val="10"/>
        <rFont val="Arial Narrow"/>
        <family val="2"/>
        <charset val="238"/>
      </rPr>
      <t>) a rozprostřením vrstvy štěpky o mocnosti min. 150 mm. Při pojezdu mechanizace je na vrstvu štěpky umístěna pojezdová konstrukce odolávající předpokládanému zatížení (fošny, betonové panely, kovové dílce apod.). Montáž a demontáž ochrany půdního povrchu probíhá tak, aby při ní nedošlo ke zhutnění půdního povrchu. Na stanovišti zůstává po dobu nezbytně nutnou.</t>
    </r>
  </si>
  <si>
    <t>hana@zahradyhana.cz; 603 961 197</t>
  </si>
  <si>
    <t>Z.3.1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</si>
</sst>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 _K_č_-;\-* #,##0.00\ _K_č_-;_-* &quot;-&quot;??\ _K_č_-;_-@_-"/>
    <numFmt numFmtId="164" formatCode="[$-405]0%"/>
    <numFmt numFmtId="165" formatCode="[$-405]0.00"/>
    <numFmt numFmtId="166" formatCode="0.0"/>
    <numFmt numFmtId="167" formatCode="#,##0.0&quot; Kč&quot;"/>
    <numFmt numFmtId="168" formatCode="#,##0.0&quot;     &quot;;[Red]&quot;-&quot;#,##0.0&quot;     &quot;"/>
    <numFmt numFmtId="169" formatCode="#,##0&quot; Kč&quot;"/>
    <numFmt numFmtId="170" formatCode="[$-405]0"/>
    <numFmt numFmtId="171" formatCode="&quot; &quot;#,##0&quot; Kč &quot;;&quot;-&quot;#,##0&quot; Kč &quot;;&quot; -&quot;#&quot; Kč &quot;;@&quot; &quot;"/>
    <numFmt numFmtId="172" formatCode="#,##0.00&quot; Kč&quot;"/>
    <numFmt numFmtId="173" formatCode="&quot; &quot;#,##0&quot; &quot;[$Kč-405]&quot; &quot;;&quot;-&quot;#,##0&quot; &quot;[$Kč-405]&quot; &quot;;&quot; -&quot;#&quot; &quot;[$Kč-405]&quot; &quot;;@&quot; &quot;"/>
    <numFmt numFmtId="174" formatCode="[$-405]#,##0"/>
    <numFmt numFmtId="175" formatCode="0.00000"/>
    <numFmt numFmtId="176" formatCode="0.000"/>
    <numFmt numFmtId="177" formatCode="[$-405]#,##0.00"/>
    <numFmt numFmtId="178" formatCode="#,##0.0"/>
    <numFmt numFmtId="179" formatCode="0.0000"/>
    <numFmt numFmtId="180" formatCode="&quot; &quot;#,##0&quot;      &quot;;&quot;-&quot;#,##0&quot;      &quot;;&quot; -&quot;#&quot;      &quot;;@&quot; &quot;"/>
    <numFmt numFmtId="181" formatCode="&quot; &quot;#,##0.00&quot;      &quot;;&quot;-&quot;#,##0.00&quot;      &quot;;&quot; -&quot;#&quot;      &quot;;@&quot; &quot;"/>
    <numFmt numFmtId="182" formatCode="&quot; &quot;#,##0.00&quot; Kč &quot;;&quot;-&quot;#,##0.00&quot; Kč &quot;;&quot; -&quot;#&quot; Kč &quot;;@&quot; &quot;"/>
    <numFmt numFmtId="183" formatCode="[$-405]General"/>
    <numFmt numFmtId="184" formatCode="#,##0.00&quot; &quot;[$Kč-405];[Red]&quot;-&quot;#,##0.00&quot; &quot;[$Kč-405]"/>
  </numFmts>
  <fonts count="33" x14ac:knownFonts="1">
    <font>
      <sz val="11"/>
      <color theme="1"/>
      <name val="Arial"/>
      <family val="2"/>
      <charset val="238"/>
    </font>
    <font>
      <sz val="11"/>
      <color rgb="FF000000"/>
      <name val="Calibri"/>
      <family val="2"/>
      <charset val="238"/>
    </font>
    <font>
      <sz val="10"/>
      <color rgb="FF000000"/>
      <name val="Arial CE"/>
      <charset val="238"/>
    </font>
    <font>
      <sz val="10"/>
      <color rgb="FF000000"/>
      <name val="Arial"/>
      <family val="2"/>
      <charset val="238"/>
    </font>
    <font>
      <b/>
      <i/>
      <sz val="16"/>
      <color theme="1"/>
      <name val="Arial"/>
      <family val="2"/>
      <charset val="238"/>
    </font>
    <font>
      <b/>
      <i/>
      <u/>
      <sz val="11"/>
      <color theme="1"/>
      <name val="Arial"/>
      <family val="2"/>
      <charset val="238"/>
    </font>
    <font>
      <sz val="10"/>
      <color rgb="FF000000"/>
      <name val="Arial Narrow"/>
      <family val="2"/>
      <charset val="238"/>
    </font>
    <font>
      <sz val="8"/>
      <color rgb="FF000000"/>
      <name val="Arial Narrow"/>
      <family val="2"/>
      <charset val="238"/>
    </font>
    <font>
      <sz val="7"/>
      <color rgb="FF000000"/>
      <name val="Arial Narrow"/>
      <family val="2"/>
      <charset val="238"/>
    </font>
    <font>
      <i/>
      <sz val="10"/>
      <color rgb="FF000000"/>
      <name val="Arial Narrow"/>
      <family val="2"/>
      <charset val="238"/>
    </font>
    <font>
      <i/>
      <sz val="7"/>
      <color rgb="FF000000"/>
      <name val="Arial Narrow"/>
      <family val="2"/>
      <charset val="238"/>
    </font>
    <font>
      <i/>
      <sz val="8"/>
      <color rgb="FF000000"/>
      <name val="Arial Narrow"/>
      <family val="2"/>
      <charset val="238"/>
    </font>
    <font>
      <b/>
      <sz val="9"/>
      <color rgb="FF102E6C"/>
      <name val="Arial"/>
      <family val="2"/>
      <charset val="238"/>
    </font>
    <font>
      <b/>
      <sz val="9"/>
      <color rgb="FFFF0000"/>
      <name val="Arial"/>
      <family val="2"/>
      <charset val="238"/>
    </font>
    <font>
      <sz val="9"/>
      <color rgb="FF102E6C"/>
      <name val="Arial"/>
      <family val="2"/>
      <charset val="238"/>
    </font>
    <font>
      <sz val="10"/>
      <color rgb="FF000000"/>
      <name val="Calibri"/>
      <family val="2"/>
      <charset val="238"/>
    </font>
    <font>
      <b/>
      <i/>
      <sz val="10"/>
      <color rgb="FFFF00FF"/>
      <name val="Calibri"/>
      <family val="2"/>
      <charset val="238"/>
    </font>
    <font>
      <sz val="10.5"/>
      <color rgb="FF000000"/>
      <name val="Arial Narrow"/>
      <family val="2"/>
      <charset val="238"/>
    </font>
    <font>
      <vertAlign val="superscript"/>
      <sz val="10"/>
      <color theme="1"/>
      <name val="Arial Narrow"/>
      <family val="2"/>
      <charset val="238"/>
    </font>
    <font>
      <strike/>
      <sz val="10"/>
      <color rgb="FF000000"/>
      <name val="Arial Narrow"/>
      <family val="2"/>
      <charset val="238"/>
    </font>
    <font>
      <b/>
      <sz val="8"/>
      <color rgb="FF000000"/>
      <name val="Arial Narrow"/>
      <family val="2"/>
      <charset val="238"/>
    </font>
    <font>
      <b/>
      <strike/>
      <sz val="8"/>
      <color rgb="FF000000"/>
      <name val="Arial Narrow"/>
      <family val="2"/>
      <charset val="238"/>
    </font>
    <font>
      <sz val="8"/>
      <color rgb="FFFF0000"/>
      <name val="Arial Narrow"/>
      <family val="2"/>
      <charset val="238"/>
    </font>
    <font>
      <vertAlign val="superscript"/>
      <sz val="8"/>
      <color rgb="FF000000"/>
      <name val="Arial Narrow"/>
      <family val="2"/>
      <charset val="238"/>
    </font>
    <font>
      <b/>
      <sz val="10"/>
      <color rgb="FF000000"/>
      <name val="Calibri"/>
      <family val="2"/>
      <charset val="238"/>
    </font>
    <font>
      <i/>
      <sz val="11"/>
      <color rgb="FF000000"/>
      <name val="Calibri"/>
      <family val="2"/>
      <charset val="238"/>
    </font>
    <font>
      <sz val="10"/>
      <name val="Arial Narrow"/>
      <family val="2"/>
      <charset val="238"/>
    </font>
    <font>
      <strike/>
      <sz val="10"/>
      <name val="Arial Narrow"/>
      <family val="2"/>
      <charset val="238"/>
    </font>
    <font>
      <i/>
      <sz val="10"/>
      <name val="Arial Narrow"/>
      <family val="2"/>
      <charset val="238"/>
    </font>
    <font>
      <b/>
      <sz val="10"/>
      <name val="Arial Narrow"/>
      <family val="2"/>
      <charset val="238"/>
    </font>
    <font>
      <vertAlign val="superscript"/>
      <sz val="10"/>
      <name val="Arial Narrow"/>
      <family val="2"/>
      <charset val="238"/>
    </font>
    <font>
      <sz val="11"/>
      <color theme="1"/>
      <name val="Arial"/>
      <family val="2"/>
      <charset val="238"/>
    </font>
    <font>
      <b/>
      <sz val="11"/>
      <color theme="1"/>
      <name val="Calibri"/>
      <family val="2"/>
      <charset val="238"/>
    </font>
  </fonts>
  <fills count="11">
    <fill>
      <patternFill patternType="none"/>
    </fill>
    <fill>
      <patternFill patternType="gray125"/>
    </fill>
    <fill>
      <patternFill patternType="solid">
        <fgColor rgb="FFE2F0D9"/>
        <bgColor rgb="FFE2F0D9"/>
      </patternFill>
    </fill>
    <fill>
      <patternFill patternType="solid">
        <fgColor rgb="FFCCCCFF"/>
        <bgColor rgb="FFCCCCFF"/>
      </patternFill>
    </fill>
    <fill>
      <patternFill patternType="solid">
        <fgColor rgb="FFFFFF00"/>
        <bgColor rgb="FFFFFF00"/>
      </patternFill>
    </fill>
    <fill>
      <patternFill patternType="solid">
        <fgColor rgb="FFBDD7EE"/>
        <bgColor rgb="FFBDD7EE"/>
      </patternFill>
    </fill>
    <fill>
      <patternFill patternType="solid">
        <fgColor rgb="FF9DC3E6"/>
        <bgColor rgb="FF9DC3E6"/>
      </patternFill>
    </fill>
    <fill>
      <patternFill patternType="solid">
        <fgColor rgb="FFDAE3F3"/>
        <bgColor rgb="FFDAE3F3"/>
      </patternFill>
    </fill>
    <fill>
      <patternFill patternType="solid">
        <fgColor rgb="FF2E75B6"/>
        <bgColor rgb="FF2E75B6"/>
      </patternFill>
    </fill>
    <fill>
      <patternFill patternType="solid">
        <fgColor rgb="FF1F4E79"/>
        <bgColor rgb="FF1F4E79"/>
      </patternFill>
    </fill>
    <fill>
      <patternFill patternType="solid">
        <fgColor rgb="FFF8CBAD"/>
        <bgColor rgb="FFF8CBAD"/>
      </patternFill>
    </fill>
  </fills>
  <borders count="7">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indexed="64"/>
      </bottom>
      <diagonal/>
    </border>
  </borders>
  <cellStyleXfs count="17">
    <xf numFmtId="0" fontId="0" fillId="0" borderId="0"/>
    <xf numFmtId="181" fontId="1" fillId="0" borderId="0"/>
    <xf numFmtId="179" fontId="2" fillId="0" borderId="0"/>
    <xf numFmtId="181" fontId="1" fillId="0" borderId="0"/>
    <xf numFmtId="182" fontId="1" fillId="0" borderId="0"/>
    <xf numFmtId="183" fontId="1" fillId="0" borderId="0"/>
    <xf numFmtId="183" fontId="1" fillId="0" borderId="0"/>
    <xf numFmtId="183" fontId="1" fillId="0" borderId="0"/>
    <xf numFmtId="183" fontId="3" fillId="0" borderId="0"/>
    <xf numFmtId="0" fontId="4" fillId="0" borderId="0">
      <alignment horizontal="center"/>
    </xf>
    <xf numFmtId="0" fontId="4" fillId="0" borderId="0">
      <alignment horizontal="center" textRotation="90"/>
    </xf>
    <xf numFmtId="183" fontId="1" fillId="0" borderId="0"/>
    <xf numFmtId="183" fontId="3" fillId="0" borderId="0"/>
    <xf numFmtId="0" fontId="5" fillId="0" borderId="0"/>
    <xf numFmtId="184" fontId="5" fillId="0" borderId="0"/>
    <xf numFmtId="176" fontId="2" fillId="0" borderId="0"/>
    <xf numFmtId="43" fontId="31" fillId="0" borderId="0" applyFont="0" applyFill="0" applyBorder="0" applyAlignment="0" applyProtection="0"/>
  </cellStyleXfs>
  <cellXfs count="447">
    <xf numFmtId="0" fontId="0" fillId="0" borderId="0" xfId="0"/>
    <xf numFmtId="183" fontId="6" fillId="0" borderId="1" xfId="5" applyFont="1" applyFill="1" applyBorder="1" applyAlignment="1">
      <alignment horizontal="center" vertical="top"/>
    </xf>
    <xf numFmtId="183" fontId="6" fillId="0" borderId="1" xfId="5" applyFont="1" applyFill="1" applyBorder="1" applyAlignment="1">
      <alignment horizontal="center" vertical="top" wrapText="1"/>
    </xf>
    <xf numFmtId="168" fontId="6" fillId="0" borderId="1" xfId="3" applyNumberFormat="1" applyFont="1" applyFill="1" applyBorder="1" applyAlignment="1" applyProtection="1">
      <alignment horizontal="center" vertical="top"/>
    </xf>
    <xf numFmtId="183" fontId="6" fillId="0" borderId="1" xfId="5" applyFont="1" applyFill="1" applyBorder="1" applyAlignment="1">
      <alignment horizontal="right" vertical="top"/>
    </xf>
    <xf numFmtId="179" fontId="6" fillId="0" borderId="1" xfId="2" applyFont="1" applyFill="1" applyBorder="1" applyAlignment="1">
      <alignment horizontal="right" vertical="top"/>
    </xf>
    <xf numFmtId="179" fontId="6" fillId="0" borderId="1" xfId="2" applyFont="1" applyFill="1" applyBorder="1" applyAlignment="1">
      <alignment horizontal="left" vertical="top"/>
    </xf>
    <xf numFmtId="183" fontId="7" fillId="0" borderId="1" xfId="5" applyFont="1" applyFill="1" applyBorder="1" applyAlignment="1">
      <alignment horizontal="right" vertical="top" wrapText="1"/>
    </xf>
    <xf numFmtId="183" fontId="8" fillId="0" borderId="0" xfId="5" applyFont="1" applyFill="1" applyAlignment="1">
      <alignment vertical="top" wrapText="1"/>
    </xf>
    <xf numFmtId="183" fontId="6" fillId="0" borderId="0" xfId="5" applyFont="1" applyFill="1" applyAlignment="1">
      <alignment vertical="top"/>
    </xf>
    <xf numFmtId="183" fontId="6" fillId="0" borderId="2" xfId="5" applyFont="1" applyFill="1" applyBorder="1" applyAlignment="1">
      <alignment horizontal="center" vertical="top"/>
    </xf>
    <xf numFmtId="183" fontId="6" fillId="0" borderId="3" xfId="5" applyFont="1" applyFill="1" applyBorder="1" applyAlignment="1">
      <alignment horizontal="center" vertical="top" wrapText="1"/>
    </xf>
    <xf numFmtId="168" fontId="6" fillId="0" borderId="3" xfId="3" applyNumberFormat="1" applyFont="1" applyFill="1" applyBorder="1" applyAlignment="1" applyProtection="1">
      <alignment horizontal="center" vertical="top"/>
    </xf>
    <xf numFmtId="183" fontId="6" fillId="0" borderId="3" xfId="5" applyFont="1" applyFill="1" applyBorder="1" applyAlignment="1">
      <alignment horizontal="center" vertical="top"/>
    </xf>
    <xf numFmtId="183" fontId="6" fillId="0" borderId="4" xfId="5" applyFont="1" applyFill="1" applyBorder="1" applyAlignment="1">
      <alignment horizontal="right" vertical="top"/>
    </xf>
    <xf numFmtId="179" fontId="6" fillId="0" borderId="4" xfId="2" applyFont="1" applyFill="1" applyBorder="1" applyAlignment="1">
      <alignment horizontal="right" vertical="top"/>
    </xf>
    <xf numFmtId="176" fontId="6" fillId="0" borderId="4" xfId="15" applyFont="1" applyFill="1" applyBorder="1" applyAlignment="1">
      <alignment horizontal="right" vertical="top"/>
    </xf>
    <xf numFmtId="183" fontId="7" fillId="0" borderId="3" xfId="5" applyFont="1" applyFill="1" applyBorder="1" applyAlignment="1">
      <alignment horizontal="right" vertical="top" wrapText="1"/>
    </xf>
    <xf numFmtId="183" fontId="6" fillId="0" borderId="2" xfId="5" applyFont="1" applyFill="1" applyBorder="1" applyAlignment="1">
      <alignment horizontal="center" vertical="top" wrapText="1"/>
    </xf>
    <xf numFmtId="183" fontId="7" fillId="0" borderId="1" xfId="5" applyFont="1" applyFill="1" applyBorder="1" applyAlignment="1">
      <alignment horizontal="center" vertical="top" wrapText="1"/>
    </xf>
    <xf numFmtId="183" fontId="8" fillId="0" borderId="0" xfId="5" applyFont="1" applyAlignment="1">
      <alignment horizontal="right" vertical="top" wrapText="1"/>
    </xf>
    <xf numFmtId="183" fontId="6" fillId="0" borderId="0" xfId="5" applyFont="1" applyAlignment="1">
      <alignment vertical="top"/>
    </xf>
    <xf numFmtId="183" fontId="7" fillId="0" borderId="2" xfId="5" applyFont="1" applyFill="1" applyBorder="1" applyAlignment="1">
      <alignment vertical="top"/>
    </xf>
    <xf numFmtId="183" fontId="7" fillId="2" borderId="2" xfId="5" applyFont="1" applyFill="1" applyBorder="1" applyAlignment="1">
      <alignment horizontal="center" vertical="top"/>
    </xf>
    <xf numFmtId="183" fontId="7" fillId="2" borderId="2" xfId="5" applyFont="1" applyFill="1" applyBorder="1" applyAlignment="1">
      <alignment horizontal="center" vertical="top" wrapText="1"/>
    </xf>
    <xf numFmtId="183" fontId="7" fillId="2" borderId="2" xfId="5" applyFont="1" applyFill="1" applyBorder="1" applyAlignment="1">
      <alignment horizontal="right" vertical="top" wrapText="1"/>
    </xf>
    <xf numFmtId="183" fontId="6" fillId="2" borderId="2" xfId="5" applyFont="1" applyFill="1" applyBorder="1" applyAlignment="1">
      <alignment horizontal="right" vertical="top" wrapText="1"/>
    </xf>
    <xf numFmtId="183" fontId="8" fillId="0" borderId="0" xfId="5" applyFont="1" applyAlignment="1">
      <alignment vertical="top" wrapText="1"/>
    </xf>
    <xf numFmtId="183" fontId="7" fillId="0" borderId="0" xfId="5" applyFont="1" applyFill="1" applyAlignment="1">
      <alignment vertical="top"/>
    </xf>
    <xf numFmtId="183" fontId="6" fillId="0" borderId="2" xfId="5" applyFont="1" applyFill="1" applyBorder="1" applyAlignment="1">
      <alignment vertical="top" wrapText="1"/>
    </xf>
    <xf numFmtId="183" fontId="6" fillId="2" borderId="4" xfId="5" applyFont="1" applyFill="1" applyBorder="1" applyAlignment="1">
      <alignment horizontal="center" vertical="top" wrapText="1"/>
    </xf>
    <xf numFmtId="169" fontId="6" fillId="2" borderId="4" xfId="3" applyNumberFormat="1" applyFont="1" applyFill="1" applyBorder="1" applyAlignment="1" applyProtection="1">
      <alignment horizontal="right" vertical="top" wrapText="1"/>
    </xf>
    <xf numFmtId="174" fontId="6" fillId="2" borderId="4" xfId="3" applyNumberFormat="1" applyFont="1" applyFill="1" applyBorder="1" applyAlignment="1" applyProtection="1">
      <alignment horizontal="center" vertical="top" wrapText="1"/>
    </xf>
    <xf numFmtId="173" fontId="6" fillId="2" borderId="4" xfId="5" applyNumberFormat="1" applyFont="1" applyFill="1" applyBorder="1" applyAlignment="1">
      <alignment horizontal="right" vertical="top" wrapText="1"/>
    </xf>
    <xf numFmtId="169" fontId="7" fillId="2" borderId="4" xfId="4" applyNumberFormat="1" applyFont="1" applyFill="1" applyBorder="1" applyAlignment="1" applyProtection="1">
      <alignment horizontal="right" vertical="top" wrapText="1"/>
    </xf>
    <xf numFmtId="183" fontId="8" fillId="0" borderId="0" xfId="5" applyFont="1" applyBorder="1" applyAlignment="1">
      <alignment horizontal="right" vertical="top" wrapText="1"/>
    </xf>
    <xf numFmtId="183" fontId="9" fillId="0" borderId="2" xfId="5" applyFont="1" applyFill="1" applyBorder="1" applyAlignment="1">
      <alignment horizontal="center" vertical="top" wrapText="1"/>
    </xf>
    <xf numFmtId="183" fontId="7" fillId="0" borderId="2" xfId="5" applyFont="1" applyFill="1" applyBorder="1" applyAlignment="1">
      <alignment horizontal="center" vertical="top" wrapText="1"/>
    </xf>
    <xf numFmtId="169" fontId="6" fillId="0" borderId="2" xfId="4" applyNumberFormat="1" applyFont="1" applyFill="1" applyBorder="1" applyAlignment="1" applyProtection="1">
      <alignment horizontal="right" vertical="top" wrapText="1"/>
    </xf>
    <xf numFmtId="174" fontId="6" fillId="0" borderId="2" xfId="5" applyNumberFormat="1" applyFont="1" applyFill="1" applyBorder="1" applyAlignment="1">
      <alignment horizontal="center" vertical="top" wrapText="1"/>
    </xf>
    <xf numFmtId="173" fontId="6" fillId="0" borderId="2" xfId="5" applyNumberFormat="1" applyFont="1" applyBorder="1" applyAlignment="1">
      <alignment horizontal="right" vertical="top" wrapText="1"/>
    </xf>
    <xf numFmtId="179" fontId="6" fillId="0" borderId="2" xfId="5" applyNumberFormat="1" applyFont="1" applyBorder="1" applyAlignment="1">
      <alignment horizontal="right" vertical="top" wrapText="1"/>
    </xf>
    <xf numFmtId="176" fontId="6" fillId="0" borderId="2" xfId="5" applyNumberFormat="1" applyFont="1" applyBorder="1" applyAlignment="1">
      <alignment horizontal="right" vertical="top" wrapText="1"/>
    </xf>
    <xf numFmtId="179" fontId="7" fillId="0" borderId="2" xfId="5" applyNumberFormat="1" applyFont="1" applyFill="1" applyBorder="1" applyAlignment="1">
      <alignment horizontal="right" vertical="top" wrapText="1"/>
    </xf>
    <xf numFmtId="165" fontId="6" fillId="0" borderId="2" xfId="5" applyNumberFormat="1" applyFont="1" applyFill="1" applyBorder="1" applyAlignment="1">
      <alignment horizontal="center" vertical="top" wrapText="1"/>
    </xf>
    <xf numFmtId="174" fontId="6" fillId="0" borderId="2" xfId="5" applyNumberFormat="1" applyFont="1" applyBorder="1" applyAlignment="1">
      <alignment horizontal="center" vertical="top" wrapText="1"/>
    </xf>
    <xf numFmtId="183" fontId="8" fillId="3" borderId="5" xfId="12" applyFont="1" applyFill="1" applyBorder="1" applyAlignment="1">
      <alignment horizontal="left" vertical="top" wrapText="1"/>
    </xf>
    <xf numFmtId="183" fontId="6" fillId="0" borderId="2" xfId="8" applyFont="1" applyFill="1" applyBorder="1" applyAlignment="1">
      <alignment vertical="top" wrapText="1"/>
    </xf>
    <xf numFmtId="183" fontId="6" fillId="0" borderId="4" xfId="8" applyFont="1" applyFill="1" applyBorder="1" applyAlignment="1">
      <alignment horizontal="center" vertical="top" wrapText="1"/>
    </xf>
    <xf numFmtId="170" fontId="6" fillId="0" borderId="4" xfId="8" applyNumberFormat="1" applyFont="1" applyFill="1" applyBorder="1" applyAlignment="1">
      <alignment horizontal="right" vertical="top" wrapText="1"/>
    </xf>
    <xf numFmtId="183" fontId="6" fillId="0" borderId="4" xfId="8" applyFont="1" applyFill="1" applyBorder="1" applyAlignment="1">
      <alignment horizontal="right" vertical="top" wrapText="1"/>
    </xf>
    <xf numFmtId="183" fontId="7" fillId="0" borderId="4" xfId="8" applyFont="1" applyFill="1" applyBorder="1" applyAlignment="1">
      <alignment horizontal="right" vertical="top" wrapText="1"/>
    </xf>
    <xf numFmtId="183" fontId="8" fillId="0" borderId="5" xfId="8" applyFont="1" applyFill="1" applyBorder="1" applyAlignment="1">
      <alignment horizontal="right" vertical="top" wrapText="1"/>
    </xf>
    <xf numFmtId="183" fontId="6" fillId="0" borderId="2" xfId="8" applyFont="1" applyBorder="1" applyAlignment="1">
      <alignment horizontal="center" vertical="top" wrapText="1"/>
    </xf>
    <xf numFmtId="170" fontId="6" fillId="0" borderId="2" xfId="8" applyNumberFormat="1" applyFont="1" applyBorder="1" applyAlignment="1">
      <alignment horizontal="right" vertical="top" wrapText="1"/>
    </xf>
    <xf numFmtId="183" fontId="6" fillId="0" borderId="2" xfId="8" applyFont="1" applyBorder="1" applyAlignment="1">
      <alignment horizontal="right" vertical="top" wrapText="1"/>
    </xf>
    <xf numFmtId="183" fontId="7" fillId="0" borderId="2" xfId="8" applyFont="1" applyBorder="1" applyAlignment="1">
      <alignment horizontal="right" vertical="top" wrapText="1"/>
    </xf>
    <xf numFmtId="183" fontId="8" fillId="0" borderId="0" xfId="8" applyFont="1" applyBorder="1" applyAlignment="1">
      <alignment horizontal="right" vertical="top" wrapText="1"/>
    </xf>
    <xf numFmtId="183" fontId="6" fillId="0" borderId="2" xfId="5" applyFont="1" applyFill="1" applyBorder="1" applyAlignment="1">
      <alignment vertical="top"/>
    </xf>
    <xf numFmtId="165" fontId="6" fillId="0" borderId="2" xfId="5" applyNumberFormat="1" applyFont="1" applyFill="1" applyBorder="1" applyAlignment="1">
      <alignment horizontal="center" vertical="top"/>
    </xf>
    <xf numFmtId="182" fontId="6" fillId="0" borderId="2" xfId="4" applyFont="1" applyFill="1" applyBorder="1" applyAlignment="1" applyProtection="1">
      <alignment horizontal="right" vertical="top"/>
    </xf>
    <xf numFmtId="173" fontId="6" fillId="0" borderId="2" xfId="5" applyNumberFormat="1" applyFont="1" applyBorder="1" applyAlignment="1">
      <alignment horizontal="right" vertical="top"/>
    </xf>
    <xf numFmtId="173" fontId="6" fillId="0" borderId="2" xfId="5" applyNumberFormat="1" applyFont="1" applyFill="1" applyBorder="1" applyAlignment="1">
      <alignment horizontal="right" vertical="top"/>
    </xf>
    <xf numFmtId="179" fontId="6" fillId="0" borderId="2" xfId="5" applyNumberFormat="1" applyFont="1" applyBorder="1" applyAlignment="1">
      <alignment horizontal="right" vertical="top"/>
    </xf>
    <xf numFmtId="176" fontId="6" fillId="0" borderId="2" xfId="5" applyNumberFormat="1" applyFont="1" applyBorder="1" applyAlignment="1">
      <alignment horizontal="right" vertical="top"/>
    </xf>
    <xf numFmtId="183" fontId="7" fillId="0" borderId="2" xfId="5" applyFont="1" applyBorder="1" applyAlignment="1">
      <alignment horizontal="right" vertical="top"/>
    </xf>
    <xf numFmtId="183" fontId="10" fillId="0" borderId="2" xfId="5" applyFont="1" applyFill="1" applyBorder="1" applyAlignment="1">
      <alignment horizontal="left" vertical="top" wrapText="1"/>
    </xf>
    <xf numFmtId="183" fontId="8" fillId="3" borderId="4" xfId="12" applyFont="1" applyFill="1" applyBorder="1" applyAlignment="1">
      <alignment horizontal="center" vertical="top" wrapText="1"/>
    </xf>
    <xf numFmtId="170" fontId="8" fillId="3" borderId="4" xfId="12" applyNumberFormat="1" applyFont="1" applyFill="1" applyBorder="1" applyAlignment="1">
      <alignment horizontal="left" vertical="top" wrapText="1"/>
    </xf>
    <xf numFmtId="183" fontId="8" fillId="3" borderId="4" xfId="12" applyFont="1" applyFill="1" applyBorder="1" applyAlignment="1">
      <alignment horizontal="right" vertical="top" wrapText="1"/>
    </xf>
    <xf numFmtId="183" fontId="6" fillId="3" borderId="4" xfId="12" applyFont="1" applyFill="1" applyBorder="1" applyAlignment="1">
      <alignment horizontal="right" vertical="top" wrapText="1"/>
    </xf>
    <xf numFmtId="183" fontId="7" fillId="3" borderId="4" xfId="12" applyFont="1" applyFill="1" applyBorder="1" applyAlignment="1">
      <alignment horizontal="right" vertical="top" wrapText="1"/>
    </xf>
    <xf numFmtId="183" fontId="8" fillId="0" borderId="0" xfId="5" applyFont="1" applyAlignment="1">
      <alignment horizontal="left" vertical="top" wrapText="1"/>
    </xf>
    <xf numFmtId="183" fontId="6" fillId="0" borderId="4" xfId="8" applyFont="1" applyBorder="1" applyAlignment="1">
      <alignment horizontal="center" vertical="top" wrapText="1"/>
    </xf>
    <xf numFmtId="170" fontId="6" fillId="0" borderId="4" xfId="8" applyNumberFormat="1" applyFont="1" applyBorder="1" applyAlignment="1">
      <alignment horizontal="right" vertical="top" wrapText="1"/>
    </xf>
    <xf numFmtId="183" fontId="6" fillId="0" borderId="4" xfId="8" applyFont="1" applyBorder="1" applyAlignment="1">
      <alignment horizontal="right" vertical="top" wrapText="1"/>
    </xf>
    <xf numFmtId="183" fontId="7" fillId="0" borderId="4" xfId="8" applyFont="1" applyBorder="1" applyAlignment="1">
      <alignment horizontal="right" vertical="top" wrapText="1"/>
    </xf>
    <xf numFmtId="183" fontId="8" fillId="0" borderId="5" xfId="8" applyFont="1" applyBorder="1" applyAlignment="1">
      <alignment horizontal="right" vertical="top" wrapText="1"/>
    </xf>
    <xf numFmtId="183" fontId="6" fillId="0" borderId="0" xfId="5" applyFont="1" applyAlignment="1">
      <alignment vertical="top" wrapText="1"/>
    </xf>
    <xf numFmtId="166" fontId="6" fillId="0" borderId="2" xfId="5" applyNumberFormat="1" applyFont="1" applyBorder="1" applyAlignment="1">
      <alignment horizontal="center" vertical="top" wrapText="1"/>
    </xf>
    <xf numFmtId="183" fontId="8" fillId="0" borderId="0" xfId="5" applyFont="1" applyFill="1" applyAlignment="1">
      <alignment horizontal="left" vertical="top" wrapText="1"/>
    </xf>
    <xf numFmtId="183" fontId="6" fillId="0" borderId="4" xfId="12" applyFont="1" applyFill="1" applyBorder="1" applyAlignment="1">
      <alignment horizontal="center" vertical="top" wrapText="1"/>
    </xf>
    <xf numFmtId="183" fontId="6" fillId="0" borderId="0" xfId="5" applyFont="1" applyFill="1" applyAlignment="1">
      <alignment horizontal="right" vertical="top"/>
    </xf>
    <xf numFmtId="179" fontId="6" fillId="0" borderId="1" xfId="5" applyNumberFormat="1" applyFont="1" applyBorder="1" applyAlignment="1">
      <alignment horizontal="right" vertical="top" wrapText="1"/>
    </xf>
    <xf numFmtId="183" fontId="7" fillId="0" borderId="2" xfId="5" applyFont="1" applyBorder="1" applyAlignment="1">
      <alignment horizontal="right" vertical="top" wrapText="1"/>
    </xf>
    <xf numFmtId="183" fontId="8" fillId="3" borderId="2" xfId="5" applyFont="1" applyFill="1" applyBorder="1" applyAlignment="1">
      <alignment horizontal="left" vertical="top" wrapText="1"/>
    </xf>
    <xf numFmtId="183" fontId="8" fillId="3" borderId="2" xfId="5" applyFont="1" applyFill="1" applyBorder="1" applyAlignment="1">
      <alignment horizontal="center" vertical="top" wrapText="1"/>
    </xf>
    <xf numFmtId="173" fontId="8" fillId="0" borderId="2" xfId="5" applyNumberFormat="1" applyFont="1" applyBorder="1" applyAlignment="1">
      <alignment horizontal="right" vertical="top" wrapText="1"/>
    </xf>
    <xf numFmtId="183" fontId="8" fillId="0" borderId="2" xfId="5" applyFont="1" applyBorder="1" applyAlignment="1">
      <alignment horizontal="right" vertical="top" wrapText="1"/>
    </xf>
    <xf numFmtId="183" fontId="6" fillId="0" borderId="2" xfId="5" applyFont="1" applyBorder="1" applyAlignment="1">
      <alignment horizontal="right" vertical="top" wrapText="1"/>
    </xf>
    <xf numFmtId="170" fontId="6" fillId="0" borderId="2" xfId="4" applyNumberFormat="1" applyFont="1" applyFill="1" applyBorder="1" applyAlignment="1" applyProtection="1">
      <alignment horizontal="right" vertical="top" wrapText="1"/>
    </xf>
    <xf numFmtId="166" fontId="6" fillId="0" borderId="2" xfId="5" applyNumberFormat="1" applyFont="1" applyFill="1" applyBorder="1" applyAlignment="1">
      <alignment horizontal="right" vertical="top" wrapText="1"/>
    </xf>
    <xf numFmtId="166" fontId="6" fillId="0" borderId="2" xfId="5" applyNumberFormat="1" applyFont="1" applyBorder="1" applyAlignment="1">
      <alignment horizontal="right" vertical="top" wrapText="1"/>
    </xf>
    <xf numFmtId="170" fontId="6" fillId="0" borderId="3" xfId="4" applyNumberFormat="1" applyFont="1" applyFill="1" applyBorder="1" applyAlignment="1" applyProtection="1">
      <alignment horizontal="right" vertical="top" wrapText="1"/>
    </xf>
    <xf numFmtId="165" fontId="6" fillId="0" borderId="3" xfId="5" applyNumberFormat="1" applyFont="1" applyFill="1" applyBorder="1" applyAlignment="1">
      <alignment horizontal="center" vertical="top" wrapText="1"/>
    </xf>
    <xf numFmtId="166" fontId="6" fillId="0" borderId="3" xfId="5" applyNumberFormat="1" applyFont="1" applyBorder="1" applyAlignment="1">
      <alignment horizontal="right" vertical="top" wrapText="1"/>
    </xf>
    <xf numFmtId="183" fontId="7" fillId="0" borderId="3" xfId="5" applyFont="1" applyBorder="1" applyAlignment="1">
      <alignment horizontal="right" vertical="top" wrapText="1"/>
    </xf>
    <xf numFmtId="183" fontId="8" fillId="3" borderId="4" xfId="5" applyFont="1" applyFill="1" applyBorder="1" applyAlignment="1">
      <alignment horizontal="left" vertical="top" wrapText="1"/>
    </xf>
    <xf numFmtId="183" fontId="8" fillId="3" borderId="4" xfId="5" applyFont="1" applyFill="1" applyBorder="1" applyAlignment="1">
      <alignment horizontal="center" vertical="top" wrapText="1"/>
    </xf>
    <xf numFmtId="183" fontId="8" fillId="0" borderId="4" xfId="5" applyFont="1" applyFill="1" applyBorder="1" applyAlignment="1">
      <alignment horizontal="right" vertical="top" wrapText="1"/>
    </xf>
    <xf numFmtId="183" fontId="6" fillId="0" borderId="4" xfId="5" applyFont="1" applyFill="1" applyBorder="1" applyAlignment="1">
      <alignment horizontal="right" vertical="top" wrapText="1"/>
    </xf>
    <xf numFmtId="170" fontId="9" fillId="0" borderId="2" xfId="4" applyNumberFormat="1" applyFont="1" applyFill="1" applyBorder="1" applyAlignment="1" applyProtection="1">
      <alignment horizontal="right" vertical="top" wrapText="1"/>
    </xf>
    <xf numFmtId="165" fontId="9" fillId="0" borderId="2" xfId="5" applyNumberFormat="1" applyFont="1" applyFill="1" applyBorder="1" applyAlignment="1">
      <alignment horizontal="center" vertical="top" wrapText="1"/>
    </xf>
    <xf numFmtId="166" fontId="9" fillId="0" borderId="2" xfId="5" applyNumberFormat="1" applyFont="1" applyBorder="1" applyAlignment="1">
      <alignment horizontal="right" vertical="top" wrapText="1"/>
    </xf>
    <xf numFmtId="166" fontId="9" fillId="0" borderId="2" xfId="5" applyNumberFormat="1" applyFont="1" applyBorder="1" applyAlignment="1">
      <alignment horizontal="right" vertical="top"/>
    </xf>
    <xf numFmtId="183" fontId="11" fillId="0" borderId="2" xfId="5" applyFont="1" applyBorder="1" applyAlignment="1">
      <alignment horizontal="right" vertical="top" wrapText="1"/>
    </xf>
    <xf numFmtId="171" fontId="9" fillId="0" borderId="2" xfId="4" applyNumberFormat="1" applyFont="1" applyFill="1" applyBorder="1" applyAlignment="1" applyProtection="1">
      <alignment horizontal="right" vertical="top" wrapText="1"/>
    </xf>
    <xf numFmtId="170" fontId="9" fillId="0" borderId="2" xfId="5" applyNumberFormat="1" applyFont="1" applyFill="1" applyBorder="1" applyAlignment="1">
      <alignment horizontal="center" vertical="top" wrapText="1"/>
    </xf>
    <xf numFmtId="171" fontId="6" fillId="0" borderId="2" xfId="4" applyNumberFormat="1" applyFont="1" applyFill="1" applyBorder="1" applyAlignment="1" applyProtection="1">
      <alignment horizontal="right" vertical="top" wrapText="1"/>
    </xf>
    <xf numFmtId="166" fontId="6" fillId="0" borderId="2" xfId="5" applyNumberFormat="1" applyFont="1" applyBorder="1" applyAlignment="1">
      <alignment horizontal="right" vertical="top"/>
    </xf>
    <xf numFmtId="165" fontId="6" fillId="0" borderId="2" xfId="5" applyNumberFormat="1" applyFont="1" applyBorder="1" applyAlignment="1">
      <alignment horizontal="right" vertical="top"/>
    </xf>
    <xf numFmtId="183" fontId="7" fillId="0" borderId="2" xfId="5" applyFont="1" applyBorder="1" applyAlignment="1">
      <alignment horizontal="center" vertical="top" wrapText="1"/>
    </xf>
    <xf numFmtId="183" fontId="6" fillId="0" borderId="2" xfId="5" applyFont="1" applyBorder="1" applyAlignment="1">
      <alignment horizontal="center" vertical="top"/>
    </xf>
    <xf numFmtId="171" fontId="6" fillId="0" borderId="2" xfId="4" applyNumberFormat="1" applyFont="1" applyFill="1" applyBorder="1" applyAlignment="1" applyProtection="1">
      <alignment horizontal="right" vertical="top"/>
    </xf>
    <xf numFmtId="165" fontId="9" fillId="0" borderId="2" xfId="5" applyNumberFormat="1" applyFont="1" applyBorder="1" applyAlignment="1">
      <alignment horizontal="center" vertical="top"/>
    </xf>
    <xf numFmtId="182" fontId="6" fillId="0" borderId="2" xfId="4" applyFont="1" applyFill="1" applyBorder="1" applyAlignment="1" applyProtection="1">
      <alignment horizontal="right" vertical="top" wrapText="1"/>
    </xf>
    <xf numFmtId="183" fontId="10" fillId="0" borderId="0" xfId="5" applyFont="1" applyAlignment="1">
      <alignment horizontal="right" vertical="top" wrapText="1"/>
    </xf>
    <xf numFmtId="169" fontId="6" fillId="0" borderId="3" xfId="5" applyNumberFormat="1" applyFont="1" applyFill="1" applyBorder="1" applyAlignment="1">
      <alignment vertical="top"/>
    </xf>
    <xf numFmtId="165" fontId="6" fillId="0" borderId="3" xfId="5" applyNumberFormat="1" applyFont="1" applyFill="1" applyBorder="1" applyAlignment="1">
      <alignment horizontal="center" vertical="top"/>
    </xf>
    <xf numFmtId="173" fontId="6" fillId="0" borderId="3" xfId="5" applyNumberFormat="1" applyFont="1" applyBorder="1" applyAlignment="1">
      <alignment horizontal="right" vertical="top"/>
    </xf>
    <xf numFmtId="173" fontId="6" fillId="0" borderId="3" xfId="5" applyNumberFormat="1" applyFont="1" applyFill="1" applyBorder="1" applyAlignment="1">
      <alignment horizontal="right" vertical="top"/>
    </xf>
    <xf numFmtId="176" fontId="6" fillId="0" borderId="3" xfId="5" applyNumberFormat="1" applyFont="1" applyFill="1" applyBorder="1" applyAlignment="1">
      <alignment horizontal="right" vertical="top"/>
    </xf>
    <xf numFmtId="183" fontId="7" fillId="0" borderId="3" xfId="8" applyFont="1" applyBorder="1" applyAlignment="1">
      <alignment horizontal="right" vertical="top"/>
    </xf>
    <xf numFmtId="183" fontId="7" fillId="0" borderId="2" xfId="5" applyFont="1" applyFill="1" applyBorder="1" applyAlignment="1">
      <alignment horizontal="right" vertical="top" wrapText="1"/>
    </xf>
    <xf numFmtId="183" fontId="8" fillId="0" borderId="2" xfId="5" applyFont="1" applyFill="1" applyBorder="1" applyAlignment="1">
      <alignment vertical="top" wrapText="1"/>
    </xf>
    <xf numFmtId="183" fontId="8" fillId="3" borderId="4" xfId="5" applyFont="1" applyFill="1" applyBorder="1" applyAlignment="1">
      <alignment horizontal="right" vertical="top" wrapText="1"/>
    </xf>
    <xf numFmtId="183" fontId="8" fillId="0" borderId="2" xfId="5" applyFont="1" applyFill="1" applyBorder="1" applyAlignment="1">
      <alignment horizontal="right" vertical="top" wrapText="1"/>
    </xf>
    <xf numFmtId="166" fontId="8" fillId="0" borderId="2" xfId="5" applyNumberFormat="1" applyFont="1" applyBorder="1" applyAlignment="1">
      <alignment horizontal="right" vertical="top" wrapText="1"/>
    </xf>
    <xf numFmtId="183" fontId="6" fillId="0" borderId="2" xfId="5" applyFont="1" applyFill="1" applyBorder="1" applyAlignment="1">
      <alignment horizontal="right" vertical="top" wrapText="1"/>
    </xf>
    <xf numFmtId="169" fontId="7" fillId="0" borderId="2" xfId="4" applyNumberFormat="1" applyFont="1" applyFill="1" applyBorder="1" applyAlignment="1" applyProtection="1">
      <alignment horizontal="right" vertical="top" wrapText="1"/>
    </xf>
    <xf numFmtId="166" fontId="9" fillId="0" borderId="2" xfId="5" applyNumberFormat="1" applyFont="1" applyFill="1" applyBorder="1" applyAlignment="1">
      <alignment horizontal="center" vertical="top" wrapText="1"/>
    </xf>
    <xf numFmtId="170" fontId="6" fillId="0" borderId="2" xfId="5" applyNumberFormat="1" applyFont="1" applyBorder="1" applyAlignment="1">
      <alignment horizontal="center" vertical="top"/>
    </xf>
    <xf numFmtId="165" fontId="6" fillId="0" borderId="2" xfId="5" applyNumberFormat="1" applyFont="1" applyBorder="1" applyAlignment="1">
      <alignment horizontal="center" vertical="top"/>
    </xf>
    <xf numFmtId="183" fontId="6" fillId="0" borderId="0" xfId="5" applyFont="1" applyFill="1" applyAlignment="1">
      <alignment vertical="top" wrapText="1"/>
    </xf>
    <xf numFmtId="167" fontId="6" fillId="0" borderId="2" xfId="5" applyNumberFormat="1" applyFont="1" applyBorder="1" applyAlignment="1">
      <alignment horizontal="right" vertical="top"/>
    </xf>
    <xf numFmtId="170" fontId="6" fillId="0" borderId="2" xfId="5" applyNumberFormat="1" applyFont="1" applyFill="1" applyBorder="1" applyAlignment="1">
      <alignment horizontal="center" vertical="top" wrapText="1"/>
    </xf>
    <xf numFmtId="179" fontId="6" fillId="0" borderId="3" xfId="5" applyNumberFormat="1" applyFont="1" applyBorder="1" applyAlignment="1">
      <alignment horizontal="right" vertical="top"/>
    </xf>
    <xf numFmtId="176" fontId="6" fillId="0" borderId="3" xfId="5" applyNumberFormat="1" applyFont="1" applyBorder="1" applyAlignment="1">
      <alignment horizontal="right" vertical="top"/>
    </xf>
    <xf numFmtId="183" fontId="7" fillId="0" borderId="3" xfId="5" applyFont="1" applyBorder="1" applyAlignment="1">
      <alignment horizontal="right" vertical="top"/>
    </xf>
    <xf numFmtId="169" fontId="6" fillId="2" borderId="4" xfId="3" applyNumberFormat="1" applyFont="1" applyFill="1" applyBorder="1" applyAlignment="1" applyProtection="1">
      <alignment vertical="top"/>
    </xf>
    <xf numFmtId="173" fontId="6" fillId="2" borderId="4" xfId="5" applyNumberFormat="1" applyFont="1" applyFill="1" applyBorder="1" applyAlignment="1">
      <alignment horizontal="right" vertical="top"/>
    </xf>
    <xf numFmtId="172" fontId="6" fillId="0" borderId="2" xfId="5" applyNumberFormat="1" applyFont="1" applyFill="1" applyBorder="1" applyAlignment="1">
      <alignment horizontal="right" vertical="top"/>
    </xf>
    <xf numFmtId="170" fontId="6" fillId="0" borderId="2" xfId="5" applyNumberFormat="1" applyFont="1" applyFill="1" applyBorder="1" applyAlignment="1">
      <alignment horizontal="center" vertical="top"/>
    </xf>
    <xf numFmtId="173" fontId="6" fillId="0" borderId="1" xfId="5" applyNumberFormat="1" applyFont="1" applyFill="1" applyBorder="1" applyAlignment="1">
      <alignment horizontal="right" vertical="top"/>
    </xf>
    <xf numFmtId="179" fontId="6" fillId="0" borderId="2" xfId="5" applyNumberFormat="1" applyFont="1" applyFill="1" applyBorder="1" applyAlignment="1">
      <alignment horizontal="right" vertical="top"/>
    </xf>
    <xf numFmtId="176" fontId="6" fillId="0" borderId="2" xfId="5" applyNumberFormat="1" applyFont="1" applyFill="1" applyBorder="1" applyAlignment="1">
      <alignment horizontal="right" vertical="top"/>
    </xf>
    <xf numFmtId="183" fontId="7" fillId="0" borderId="2" xfId="5" applyFont="1" applyFill="1" applyBorder="1" applyAlignment="1">
      <alignment horizontal="right" vertical="top"/>
    </xf>
    <xf numFmtId="183" fontId="8" fillId="0" borderId="0" xfId="5" applyFont="1" applyFill="1" applyAlignment="1">
      <alignment horizontal="right" vertical="top" wrapText="1"/>
    </xf>
    <xf numFmtId="169" fontId="6" fillId="0" borderId="2" xfId="5" applyNumberFormat="1" applyFont="1" applyFill="1" applyBorder="1" applyAlignment="1">
      <alignment horizontal="right" vertical="top"/>
    </xf>
    <xf numFmtId="169" fontId="6" fillId="0" borderId="2" xfId="5" applyNumberFormat="1" applyFont="1" applyFill="1" applyBorder="1" applyAlignment="1">
      <alignment vertical="top"/>
    </xf>
    <xf numFmtId="174" fontId="6" fillId="0" borderId="2" xfId="5" applyNumberFormat="1" applyFont="1" applyFill="1" applyBorder="1" applyAlignment="1">
      <alignment horizontal="center" vertical="top"/>
    </xf>
    <xf numFmtId="175" fontId="6" fillId="0" borderId="2" xfId="5" applyNumberFormat="1" applyFont="1" applyFill="1" applyBorder="1" applyAlignment="1">
      <alignment horizontal="center" vertical="top"/>
    </xf>
    <xf numFmtId="167" fontId="6" fillId="0" borderId="2" xfId="5" applyNumberFormat="1" applyFont="1" applyFill="1" applyBorder="1" applyAlignment="1">
      <alignment vertical="top"/>
    </xf>
    <xf numFmtId="169" fontId="6" fillId="0" borderId="0" xfId="5" applyNumberFormat="1" applyFont="1" applyFill="1" applyAlignment="1">
      <alignment vertical="top"/>
    </xf>
    <xf numFmtId="176" fontId="6" fillId="0" borderId="2" xfId="5" applyNumberFormat="1" applyFont="1" applyFill="1" applyBorder="1" applyAlignment="1">
      <alignment horizontal="center" vertical="top"/>
    </xf>
    <xf numFmtId="179" fontId="6" fillId="0" borderId="3" xfId="5" applyNumberFormat="1" applyFont="1" applyFill="1" applyBorder="1" applyAlignment="1">
      <alignment horizontal="right" vertical="top"/>
    </xf>
    <xf numFmtId="183" fontId="6" fillId="0" borderId="1" xfId="5" applyFont="1" applyBorder="1" applyAlignment="1">
      <alignment horizontal="center" vertical="top"/>
    </xf>
    <xf numFmtId="167" fontId="6" fillId="0" borderId="1" xfId="5" applyNumberFormat="1" applyFont="1" applyFill="1" applyBorder="1" applyAlignment="1">
      <alignment horizontal="right" vertical="top"/>
    </xf>
    <xf numFmtId="167" fontId="6" fillId="0" borderId="2" xfId="5" applyNumberFormat="1" applyFont="1" applyBorder="1" applyAlignment="1">
      <alignment vertical="top"/>
    </xf>
    <xf numFmtId="169" fontId="6" fillId="0" borderId="2" xfId="5" applyNumberFormat="1" applyFont="1" applyBorder="1" applyAlignment="1">
      <alignment vertical="top"/>
    </xf>
    <xf numFmtId="169" fontId="6" fillId="0" borderId="2" xfId="5" applyNumberFormat="1" applyFont="1" applyBorder="1" applyAlignment="1">
      <alignment horizontal="right" vertical="top"/>
    </xf>
    <xf numFmtId="183" fontId="6" fillId="0" borderId="2" xfId="5" applyFont="1" applyBorder="1" applyAlignment="1">
      <alignment horizontal="center" vertical="top" wrapText="1"/>
    </xf>
    <xf numFmtId="183" fontId="6" fillId="0" borderId="2" xfId="5" applyFont="1" applyBorder="1" applyAlignment="1">
      <alignment vertical="top"/>
    </xf>
    <xf numFmtId="183" fontId="7" fillId="0" borderId="3" xfId="5" applyFont="1" applyBorder="1" applyAlignment="1">
      <alignment horizontal="center" vertical="top" wrapText="1"/>
    </xf>
    <xf numFmtId="183" fontId="6" fillId="0" borderId="3" xfId="5" applyFont="1" applyBorder="1" applyAlignment="1">
      <alignment horizontal="center" vertical="top"/>
    </xf>
    <xf numFmtId="169" fontId="6" fillId="0" borderId="3" xfId="5" applyNumberFormat="1" applyFont="1" applyBorder="1" applyAlignment="1">
      <alignment vertical="top"/>
    </xf>
    <xf numFmtId="165" fontId="6" fillId="0" borderId="3" xfId="5" applyNumberFormat="1" applyFont="1" applyBorder="1" applyAlignment="1">
      <alignment horizontal="center" vertical="top"/>
    </xf>
    <xf numFmtId="170" fontId="7" fillId="0" borderId="3" xfId="5" applyNumberFormat="1" applyFont="1" applyBorder="1" applyAlignment="1">
      <alignment horizontal="right" vertical="top"/>
    </xf>
    <xf numFmtId="170" fontId="6" fillId="2" borderId="4" xfId="5" applyNumberFormat="1" applyFont="1" applyFill="1" applyBorder="1" applyAlignment="1">
      <alignment horizontal="center" vertical="top" wrapText="1"/>
    </xf>
    <xf numFmtId="167" fontId="6" fillId="0" borderId="2" xfId="5" applyNumberFormat="1" applyFont="1" applyFill="1" applyBorder="1" applyAlignment="1">
      <alignment horizontal="center" vertical="top"/>
    </xf>
    <xf numFmtId="170" fontId="6" fillId="0" borderId="2" xfId="5" applyNumberFormat="1" applyFont="1" applyFill="1" applyBorder="1" applyAlignment="1">
      <alignment vertical="top"/>
    </xf>
    <xf numFmtId="170" fontId="6" fillId="0" borderId="2" xfId="5" applyNumberFormat="1" applyFont="1" applyBorder="1" applyAlignment="1">
      <alignment horizontal="right" vertical="top"/>
    </xf>
    <xf numFmtId="170" fontId="6" fillId="0" borderId="2" xfId="5" applyNumberFormat="1" applyFont="1" applyBorder="1" applyAlignment="1">
      <alignment vertical="top"/>
    </xf>
    <xf numFmtId="170" fontId="6" fillId="0" borderId="2" xfId="5" applyNumberFormat="1" applyFont="1" applyFill="1" applyBorder="1" applyAlignment="1">
      <alignment horizontal="right" vertical="top"/>
    </xf>
    <xf numFmtId="172" fontId="6" fillId="0" borderId="2" xfId="3" applyNumberFormat="1" applyFont="1" applyFill="1" applyBorder="1" applyAlignment="1" applyProtection="1">
      <alignment vertical="top"/>
    </xf>
    <xf numFmtId="176" fontId="6" fillId="0" borderId="2" xfId="5" applyNumberFormat="1" applyFont="1" applyBorder="1" applyAlignment="1">
      <alignment horizontal="center" vertical="top"/>
    </xf>
    <xf numFmtId="175" fontId="6" fillId="0" borderId="2" xfId="5" applyNumberFormat="1" applyFont="1" applyFill="1" applyBorder="1" applyAlignment="1">
      <alignment horizontal="right" vertical="top"/>
    </xf>
    <xf numFmtId="176" fontId="6" fillId="0" borderId="3" xfId="5" applyNumberFormat="1" applyFont="1" applyBorder="1" applyAlignment="1">
      <alignment horizontal="center" vertical="top"/>
    </xf>
    <xf numFmtId="172" fontId="6" fillId="0" borderId="2" xfId="5" applyNumberFormat="1" applyFont="1" applyBorder="1" applyAlignment="1">
      <alignment horizontal="right" vertical="top"/>
    </xf>
    <xf numFmtId="183" fontId="6" fillId="0" borderId="2" xfId="5" applyFont="1" applyBorder="1" applyAlignment="1">
      <alignment horizontal="right" vertical="top"/>
    </xf>
    <xf numFmtId="173" fontId="6" fillId="0" borderId="2" xfId="5" applyNumberFormat="1" applyFont="1" applyBorder="1" applyAlignment="1">
      <alignment vertical="top"/>
    </xf>
    <xf numFmtId="176" fontId="6" fillId="0" borderId="2" xfId="5" applyNumberFormat="1" applyFont="1" applyBorder="1" applyAlignment="1">
      <alignment vertical="top"/>
    </xf>
    <xf numFmtId="183" fontId="6" fillId="0" borderId="0" xfId="5" applyFont="1" applyFill="1" applyBorder="1" applyAlignment="1">
      <alignment horizontal="right" vertical="top"/>
    </xf>
    <xf numFmtId="169" fontId="6" fillId="0" borderId="3" xfId="5" applyNumberFormat="1" applyFont="1" applyFill="1" applyBorder="1" applyAlignment="1">
      <alignment horizontal="right" vertical="top"/>
    </xf>
    <xf numFmtId="174" fontId="6" fillId="2" borderId="4" xfId="3" applyNumberFormat="1" applyFont="1" applyFill="1" applyBorder="1" applyAlignment="1" applyProtection="1">
      <alignment horizontal="center" vertical="top"/>
    </xf>
    <xf numFmtId="172" fontId="6" fillId="0" borderId="2" xfId="5" applyNumberFormat="1" applyFont="1" applyFill="1" applyBorder="1" applyAlignment="1">
      <alignment vertical="top"/>
    </xf>
    <xf numFmtId="183" fontId="6" fillId="0" borderId="0" xfId="5" applyFont="1" applyAlignment="1">
      <alignment horizontal="right" vertical="top" wrapText="1"/>
    </xf>
    <xf numFmtId="183" fontId="17" fillId="0" borderId="2" xfId="5" applyFont="1" applyFill="1" applyBorder="1" applyAlignment="1">
      <alignment vertical="top"/>
    </xf>
    <xf numFmtId="183" fontId="17" fillId="0" borderId="2" xfId="5" applyFont="1" applyFill="1" applyBorder="1" applyAlignment="1">
      <alignment horizontal="center" vertical="top"/>
    </xf>
    <xf numFmtId="172" fontId="17" fillId="0" borderId="2" xfId="5" applyNumberFormat="1" applyFont="1" applyFill="1" applyBorder="1" applyAlignment="1">
      <alignment horizontal="right" vertical="top"/>
    </xf>
    <xf numFmtId="165" fontId="17" fillId="0" borderId="2" xfId="5" applyNumberFormat="1" applyFont="1" applyFill="1" applyBorder="1" applyAlignment="1">
      <alignment horizontal="center" vertical="top"/>
    </xf>
    <xf numFmtId="173" fontId="17" fillId="0" borderId="2" xfId="5" applyNumberFormat="1" applyFont="1" applyFill="1" applyBorder="1" applyAlignment="1">
      <alignment horizontal="right" vertical="top"/>
    </xf>
    <xf numFmtId="169" fontId="17" fillId="0" borderId="2" xfId="5" applyNumberFormat="1" applyFont="1" applyFill="1" applyBorder="1" applyAlignment="1">
      <alignment horizontal="right" vertical="top"/>
    </xf>
    <xf numFmtId="183" fontId="17" fillId="0" borderId="3" xfId="5" applyFont="1" applyFill="1" applyBorder="1" applyAlignment="1">
      <alignment horizontal="center" vertical="top"/>
    </xf>
    <xf numFmtId="169" fontId="17" fillId="0" borderId="3" xfId="5" applyNumberFormat="1" applyFont="1" applyFill="1" applyBorder="1" applyAlignment="1">
      <alignment horizontal="right" vertical="top"/>
    </xf>
    <xf numFmtId="165" fontId="17" fillId="0" borderId="3" xfId="5" applyNumberFormat="1" applyFont="1" applyFill="1" applyBorder="1" applyAlignment="1">
      <alignment horizontal="center" vertical="top"/>
    </xf>
    <xf numFmtId="173" fontId="17" fillId="0" borderId="3" xfId="5" applyNumberFormat="1" applyFont="1" applyFill="1" applyBorder="1" applyAlignment="1">
      <alignment horizontal="right" vertical="top"/>
    </xf>
    <xf numFmtId="172" fontId="6" fillId="2" borderId="4" xfId="3" applyNumberFormat="1" applyFont="1" applyFill="1" applyBorder="1" applyAlignment="1" applyProtection="1">
      <alignment vertical="top"/>
    </xf>
    <xf numFmtId="175" fontId="6" fillId="0" borderId="2" xfId="5" applyNumberFormat="1" applyFont="1" applyBorder="1" applyAlignment="1">
      <alignment horizontal="right" vertical="top"/>
    </xf>
    <xf numFmtId="183" fontId="8" fillId="0" borderId="0" xfId="5" applyFont="1" applyBorder="1" applyAlignment="1">
      <alignment vertical="top" wrapText="1"/>
    </xf>
    <xf numFmtId="169" fontId="6" fillId="0" borderId="2" xfId="3" applyNumberFormat="1" applyFont="1" applyFill="1" applyBorder="1" applyAlignment="1" applyProtection="1">
      <alignment vertical="top" wrapText="1"/>
    </xf>
    <xf numFmtId="165" fontId="6" fillId="0" borderId="2" xfId="5" applyNumberFormat="1" applyFont="1" applyBorder="1" applyAlignment="1">
      <alignment horizontal="center" vertical="top" wrapText="1"/>
    </xf>
    <xf numFmtId="183" fontId="9" fillId="0" borderId="2" xfId="5" applyFont="1" applyFill="1" applyBorder="1" applyAlignment="1">
      <alignment horizontal="center" vertical="top"/>
    </xf>
    <xf numFmtId="165" fontId="9" fillId="0" borderId="2" xfId="5" applyNumberFormat="1" applyFont="1" applyFill="1" applyBorder="1" applyAlignment="1">
      <alignment horizontal="right" vertical="top"/>
    </xf>
    <xf numFmtId="173" fontId="6" fillId="0" borderId="2" xfId="5" applyNumberFormat="1" applyFont="1" applyFill="1" applyBorder="1" applyAlignment="1">
      <alignment vertical="top"/>
    </xf>
    <xf numFmtId="183" fontId="6" fillId="0" borderId="3" xfId="5" applyFont="1" applyFill="1" applyBorder="1" applyAlignment="1">
      <alignment vertical="top"/>
    </xf>
    <xf numFmtId="176" fontId="6" fillId="0" borderId="3" xfId="5" applyNumberFormat="1" applyFont="1" applyBorder="1" applyAlignment="1">
      <alignment horizontal="right" vertical="top" wrapText="1"/>
    </xf>
    <xf numFmtId="177" fontId="6" fillId="2" borderId="4" xfId="3" applyNumberFormat="1" applyFont="1" applyFill="1" applyBorder="1" applyAlignment="1" applyProtection="1">
      <alignment horizontal="center" vertical="top"/>
    </xf>
    <xf numFmtId="167" fontId="6" fillId="0" borderId="2" xfId="5" applyNumberFormat="1" applyFont="1" applyFill="1" applyBorder="1" applyAlignment="1">
      <alignment horizontal="center" vertical="top" wrapText="1"/>
    </xf>
    <xf numFmtId="172" fontId="6" fillId="0" borderId="2" xfId="3" applyNumberFormat="1" applyFont="1" applyFill="1" applyBorder="1" applyAlignment="1" applyProtection="1">
      <alignment vertical="top" wrapText="1"/>
    </xf>
    <xf numFmtId="173" fontId="6" fillId="0" borderId="2" xfId="5" applyNumberFormat="1" applyFont="1" applyFill="1" applyBorder="1" applyAlignment="1">
      <alignment horizontal="right" vertical="top" wrapText="1"/>
    </xf>
    <xf numFmtId="179" fontId="6" fillId="0" borderId="2" xfId="5" applyNumberFormat="1" applyFont="1" applyFill="1" applyBorder="1" applyAlignment="1">
      <alignment horizontal="right" vertical="top" wrapText="1"/>
    </xf>
    <xf numFmtId="176" fontId="6" fillId="0" borderId="2" xfId="5" applyNumberFormat="1" applyFont="1" applyFill="1" applyBorder="1" applyAlignment="1">
      <alignment horizontal="right" vertical="top" wrapText="1"/>
    </xf>
    <xf numFmtId="170" fontId="6" fillId="0" borderId="2" xfId="5" applyNumberFormat="1" applyFont="1" applyBorder="1" applyAlignment="1">
      <alignment horizontal="center" vertical="top" wrapText="1"/>
    </xf>
    <xf numFmtId="183" fontId="8" fillId="0" borderId="0" xfId="5" applyFont="1" applyFill="1" applyBorder="1" applyAlignment="1">
      <alignment vertical="top" wrapText="1"/>
    </xf>
    <xf numFmtId="172" fontId="6" fillId="0" borderId="3" xfId="5" applyNumberFormat="1" applyFont="1" applyFill="1" applyBorder="1" applyAlignment="1">
      <alignment horizontal="right" vertical="top"/>
    </xf>
    <xf numFmtId="178" fontId="6" fillId="2" borderId="4" xfId="3" applyNumberFormat="1" applyFont="1" applyFill="1" applyBorder="1" applyAlignment="1" applyProtection="1">
      <alignment horizontal="center" vertical="top"/>
    </xf>
    <xf numFmtId="178" fontId="6" fillId="0" borderId="2" xfId="5" applyNumberFormat="1" applyFont="1" applyFill="1" applyBorder="1" applyAlignment="1">
      <alignment horizontal="center" vertical="top"/>
    </xf>
    <xf numFmtId="179" fontId="6" fillId="0" borderId="2" xfId="5" applyNumberFormat="1" applyFont="1" applyFill="1" applyBorder="1" applyAlignment="1">
      <alignment horizontal="center" vertical="top"/>
    </xf>
    <xf numFmtId="177" fontId="6" fillId="0" borderId="2" xfId="5" applyNumberFormat="1" applyFont="1" applyFill="1" applyBorder="1" applyAlignment="1">
      <alignment horizontal="center" vertical="top"/>
    </xf>
    <xf numFmtId="183" fontId="7" fillId="0" borderId="3" xfId="5" applyFont="1" applyFill="1" applyBorder="1" applyAlignment="1">
      <alignment horizontal="right" vertical="top"/>
    </xf>
    <xf numFmtId="172" fontId="6" fillId="0" borderId="2" xfId="3" applyNumberFormat="1" applyFont="1" applyFill="1" applyBorder="1" applyAlignment="1" applyProtection="1">
      <alignment horizontal="right" vertical="top"/>
    </xf>
    <xf numFmtId="166" fontId="6" fillId="0" borderId="2" xfId="5" applyNumberFormat="1" applyFont="1" applyFill="1" applyBorder="1" applyAlignment="1">
      <alignment horizontal="center" vertical="top"/>
    </xf>
    <xf numFmtId="173" fontId="19" fillId="0" borderId="2" xfId="5" applyNumberFormat="1" applyFont="1" applyFill="1" applyBorder="1" applyAlignment="1">
      <alignment horizontal="right" vertical="top"/>
    </xf>
    <xf numFmtId="170" fontId="7" fillId="0" borderId="3" xfId="5" applyNumberFormat="1" applyFont="1" applyFill="1" applyBorder="1" applyAlignment="1">
      <alignment horizontal="right" vertical="top"/>
    </xf>
    <xf numFmtId="167" fontId="6" fillId="0" borderId="2" xfId="5" applyNumberFormat="1" applyFont="1" applyFill="1" applyBorder="1" applyAlignment="1">
      <alignment horizontal="right" vertical="top"/>
    </xf>
    <xf numFmtId="175" fontId="6" fillId="0" borderId="2" xfId="5" applyNumberFormat="1" applyFont="1" applyFill="1" applyBorder="1" applyAlignment="1">
      <alignment horizontal="center" vertical="top" wrapText="1"/>
    </xf>
    <xf numFmtId="168" fontId="6" fillId="0" borderId="2" xfId="5" applyNumberFormat="1" applyFont="1" applyBorder="1" applyAlignment="1">
      <alignment vertical="top"/>
    </xf>
    <xf numFmtId="177" fontId="6" fillId="0" borderId="2" xfId="5" applyNumberFormat="1" applyFont="1" applyBorder="1" applyAlignment="1">
      <alignment horizontal="right" vertical="top"/>
    </xf>
    <xf numFmtId="179" fontId="6" fillId="0" borderId="2" xfId="5" applyNumberFormat="1" applyFont="1" applyFill="1" applyBorder="1" applyAlignment="1">
      <alignment horizontal="center" vertical="top" wrapText="1"/>
    </xf>
    <xf numFmtId="179" fontId="6" fillId="0" borderId="3" xfId="5" applyNumberFormat="1" applyFont="1" applyFill="1" applyBorder="1" applyAlignment="1">
      <alignment horizontal="center" vertical="top"/>
    </xf>
    <xf numFmtId="169" fontId="6" fillId="0" borderId="2" xfId="3" applyNumberFormat="1" applyFont="1" applyFill="1" applyBorder="1" applyAlignment="1" applyProtection="1">
      <alignment vertical="top"/>
    </xf>
    <xf numFmtId="178" fontId="6" fillId="0" borderId="2" xfId="3" applyNumberFormat="1" applyFont="1" applyFill="1" applyBorder="1" applyAlignment="1" applyProtection="1">
      <alignment horizontal="center" vertical="top"/>
    </xf>
    <xf numFmtId="183" fontId="19" fillId="0" borderId="2" xfId="5" applyFont="1" applyFill="1" applyBorder="1" applyAlignment="1">
      <alignment horizontal="center" vertical="top"/>
    </xf>
    <xf numFmtId="172" fontId="19" fillId="0" borderId="2" xfId="5" applyNumberFormat="1" applyFont="1" applyFill="1" applyBorder="1" applyAlignment="1">
      <alignment horizontal="right" vertical="top"/>
    </xf>
    <xf numFmtId="166" fontId="19" fillId="0" borderId="2" xfId="5" applyNumberFormat="1" applyFont="1" applyFill="1" applyBorder="1" applyAlignment="1">
      <alignment horizontal="center" vertical="top"/>
    </xf>
    <xf numFmtId="176" fontId="6" fillId="0" borderId="3" xfId="5" applyNumberFormat="1" applyFont="1" applyFill="1" applyBorder="1" applyAlignment="1">
      <alignment horizontal="center" vertical="top"/>
    </xf>
    <xf numFmtId="183" fontId="6" fillId="0" borderId="2" xfId="5" applyFont="1" applyFill="1" applyBorder="1" applyAlignment="1">
      <alignment horizontal="right" vertical="top"/>
    </xf>
    <xf numFmtId="179" fontId="6" fillId="0" borderId="3" xfId="5" applyNumberFormat="1" applyFont="1" applyBorder="1" applyAlignment="1">
      <alignment horizontal="right" vertical="top" wrapText="1"/>
    </xf>
    <xf numFmtId="172" fontId="7" fillId="2" borderId="2" xfId="3" applyNumberFormat="1" applyFont="1" applyFill="1" applyBorder="1" applyAlignment="1" applyProtection="1">
      <alignment horizontal="center" vertical="top" wrapText="1"/>
    </xf>
    <xf numFmtId="183" fontId="7" fillId="0" borderId="0" xfId="5" applyFont="1" applyBorder="1" applyAlignment="1">
      <alignment vertical="top" wrapText="1"/>
    </xf>
    <xf numFmtId="178" fontId="6" fillId="0" borderId="2" xfId="5" applyNumberFormat="1" applyFont="1" applyBorder="1" applyAlignment="1">
      <alignment horizontal="center" vertical="top"/>
    </xf>
    <xf numFmtId="178" fontId="6" fillId="0" borderId="3" xfId="5" applyNumberFormat="1" applyFont="1" applyFill="1" applyBorder="1" applyAlignment="1">
      <alignment horizontal="center" vertical="top"/>
    </xf>
    <xf numFmtId="173" fontId="6" fillId="0" borderId="3" xfId="5" applyNumberFormat="1" applyFont="1" applyFill="1" applyBorder="1" applyAlignment="1">
      <alignment horizontal="right" vertical="top" wrapText="1"/>
    </xf>
    <xf numFmtId="183" fontId="7" fillId="0" borderId="0" xfId="5" applyFont="1" applyFill="1" applyBorder="1" applyAlignment="1">
      <alignment vertical="top"/>
    </xf>
    <xf numFmtId="178" fontId="6" fillId="0" borderId="3" xfId="5" applyNumberFormat="1" applyFont="1" applyBorder="1" applyAlignment="1">
      <alignment horizontal="center" vertical="top"/>
    </xf>
    <xf numFmtId="183" fontId="7" fillId="2" borderId="3" xfId="5" applyFont="1" applyFill="1" applyBorder="1" applyAlignment="1">
      <alignment horizontal="center" vertical="top" wrapText="1"/>
    </xf>
    <xf numFmtId="172" fontId="6" fillId="2" borderId="4" xfId="3" applyNumberFormat="1" applyFont="1" applyFill="1" applyBorder="1" applyAlignment="1" applyProtection="1">
      <alignment horizontal="right" vertical="top"/>
    </xf>
    <xf numFmtId="183" fontId="6" fillId="0" borderId="4" xfId="5" applyFont="1" applyBorder="1" applyAlignment="1">
      <alignment horizontal="center" vertical="top"/>
    </xf>
    <xf numFmtId="169" fontId="6" fillId="0" borderId="4" xfId="5" applyNumberFormat="1" applyFont="1" applyBorder="1" applyAlignment="1">
      <alignment horizontal="right" vertical="top"/>
    </xf>
    <xf numFmtId="174" fontId="6" fillId="0" borderId="4" xfId="5" applyNumberFormat="1" applyFont="1" applyBorder="1" applyAlignment="1">
      <alignment horizontal="center" vertical="top"/>
    </xf>
    <xf numFmtId="173" fontId="6" fillId="0" borderId="4" xfId="5" applyNumberFormat="1" applyFont="1" applyBorder="1" applyAlignment="1">
      <alignment horizontal="right" vertical="top"/>
    </xf>
    <xf numFmtId="179" fontId="6" fillId="0" borderId="4" xfId="5" applyNumberFormat="1" applyFont="1" applyBorder="1" applyAlignment="1">
      <alignment horizontal="right" vertical="top"/>
    </xf>
    <xf numFmtId="176" fontId="6" fillId="0" borderId="4" xfId="5" applyNumberFormat="1" applyFont="1" applyBorder="1" applyAlignment="1">
      <alignment horizontal="right" vertical="top"/>
    </xf>
    <xf numFmtId="183" fontId="7" fillId="0" borderId="4" xfId="5" applyFont="1" applyBorder="1" applyAlignment="1">
      <alignment horizontal="right" vertical="top"/>
    </xf>
    <xf numFmtId="183" fontId="7" fillId="2" borderId="2" xfId="5" applyFont="1" applyFill="1" applyBorder="1" applyAlignment="1">
      <alignment horizontal="right" vertical="top"/>
    </xf>
    <xf numFmtId="165" fontId="7" fillId="2" borderId="2" xfId="3" applyNumberFormat="1" applyFont="1" applyFill="1" applyBorder="1" applyAlignment="1" applyProtection="1">
      <alignment horizontal="center" vertical="top"/>
    </xf>
    <xf numFmtId="169" fontId="6" fillId="0" borderId="3" xfId="5" applyNumberFormat="1" applyFont="1" applyBorder="1" applyAlignment="1">
      <alignment horizontal="right" vertical="top"/>
    </xf>
    <xf numFmtId="170" fontId="6" fillId="0" borderId="3" xfId="5" applyNumberFormat="1" applyFont="1" applyBorder="1" applyAlignment="1">
      <alignment horizontal="center" vertical="top"/>
    </xf>
    <xf numFmtId="183" fontId="6" fillId="5" borderId="1" xfId="5" applyFont="1" applyFill="1" applyBorder="1" applyAlignment="1">
      <alignment horizontal="center" vertical="top" wrapText="1"/>
    </xf>
    <xf numFmtId="172" fontId="6" fillId="5" borderId="1" xfId="3" applyNumberFormat="1" applyFont="1" applyFill="1" applyBorder="1" applyAlignment="1" applyProtection="1">
      <alignment horizontal="center" vertical="top" wrapText="1"/>
    </xf>
    <xf numFmtId="165" fontId="6" fillId="5" borderId="1" xfId="5" applyNumberFormat="1" applyFont="1" applyFill="1" applyBorder="1" applyAlignment="1">
      <alignment horizontal="center" vertical="top" wrapText="1"/>
    </xf>
    <xf numFmtId="183" fontId="6" fillId="5" borderId="1" xfId="5" applyFont="1" applyFill="1" applyBorder="1" applyAlignment="1">
      <alignment horizontal="right" vertical="top" wrapText="1"/>
    </xf>
    <xf numFmtId="179" fontId="6" fillId="5" borderId="1" xfId="2" applyFont="1" applyFill="1" applyBorder="1" applyAlignment="1">
      <alignment horizontal="right" vertical="top" wrapText="1"/>
    </xf>
    <xf numFmtId="183" fontId="7" fillId="5" borderId="1" xfId="5" applyFont="1" applyFill="1" applyBorder="1" applyAlignment="1">
      <alignment horizontal="right" vertical="top" wrapText="1"/>
    </xf>
    <xf numFmtId="183" fontId="6" fillId="5" borderId="3" xfId="5" applyFont="1" applyFill="1" applyBorder="1" applyAlignment="1">
      <alignment horizontal="center" vertical="top" wrapText="1"/>
    </xf>
    <xf numFmtId="172" fontId="6" fillId="5" borderId="3" xfId="3" applyNumberFormat="1" applyFont="1" applyFill="1" applyBorder="1" applyAlignment="1" applyProtection="1">
      <alignment horizontal="center" vertical="top" wrapText="1"/>
    </xf>
    <xf numFmtId="165" fontId="6" fillId="5" borderId="3" xfId="5" applyNumberFormat="1" applyFont="1" applyFill="1" applyBorder="1" applyAlignment="1">
      <alignment horizontal="center" vertical="top" wrapText="1"/>
    </xf>
    <xf numFmtId="183" fontId="6" fillId="5" borderId="4" xfId="5" applyFont="1" applyFill="1" applyBorder="1" applyAlignment="1">
      <alignment horizontal="right" vertical="top" wrapText="1"/>
    </xf>
    <xf numFmtId="179" fontId="6" fillId="5" borderId="4" xfId="2" applyFont="1" applyFill="1" applyBorder="1" applyAlignment="1">
      <alignment horizontal="right" vertical="top" wrapText="1"/>
    </xf>
    <xf numFmtId="176" fontId="6" fillId="5" borderId="4" xfId="15" applyFont="1" applyFill="1" applyBorder="1" applyAlignment="1">
      <alignment horizontal="right" vertical="top" wrapText="1"/>
    </xf>
    <xf numFmtId="183" fontId="7" fillId="5" borderId="3" xfId="5" applyFont="1" applyFill="1" applyBorder="1" applyAlignment="1">
      <alignment horizontal="right" vertical="top" wrapText="1"/>
    </xf>
    <xf numFmtId="183" fontId="6" fillId="5" borderId="2" xfId="5" applyFont="1" applyFill="1" applyBorder="1" applyAlignment="1">
      <alignment horizontal="center" vertical="top" wrapText="1"/>
    </xf>
    <xf numFmtId="172" fontId="6" fillId="5" borderId="2" xfId="3" applyNumberFormat="1" applyFont="1" applyFill="1" applyBorder="1" applyAlignment="1" applyProtection="1">
      <alignment horizontal="center" vertical="top" wrapText="1"/>
    </xf>
    <xf numFmtId="183" fontId="6" fillId="5" borderId="2" xfId="5" applyFont="1" applyFill="1" applyBorder="1" applyAlignment="1">
      <alignment horizontal="right" vertical="top" wrapText="1"/>
    </xf>
    <xf numFmtId="183" fontId="7" fillId="5" borderId="2" xfId="5" applyFont="1" applyFill="1" applyBorder="1" applyAlignment="1">
      <alignment horizontal="right" vertical="top" wrapText="1"/>
    </xf>
    <xf numFmtId="183" fontId="6" fillId="5" borderId="4" xfId="5" applyFont="1" applyFill="1" applyBorder="1" applyAlignment="1">
      <alignment horizontal="center" vertical="top" wrapText="1"/>
    </xf>
    <xf numFmtId="183" fontId="7" fillId="5" borderId="4" xfId="5" applyFont="1" applyFill="1" applyBorder="1" applyAlignment="1">
      <alignment horizontal="right" vertical="top" wrapText="1"/>
    </xf>
    <xf numFmtId="183" fontId="6" fillId="0" borderId="4" xfId="5" applyFont="1" applyFill="1" applyBorder="1" applyAlignment="1">
      <alignment horizontal="center" vertical="top" wrapText="1"/>
    </xf>
    <xf numFmtId="172" fontId="6" fillId="0" borderId="4" xfId="3" applyNumberFormat="1" applyFont="1" applyFill="1" applyBorder="1" applyAlignment="1" applyProtection="1">
      <alignment horizontal="center" vertical="top" wrapText="1"/>
    </xf>
    <xf numFmtId="165" fontId="6" fillId="0" borderId="4" xfId="5" applyNumberFormat="1" applyFont="1" applyFill="1" applyBorder="1" applyAlignment="1">
      <alignment horizontal="center" vertical="top" wrapText="1"/>
    </xf>
    <xf numFmtId="183" fontId="7" fillId="0" borderId="4" xfId="5" applyFont="1" applyFill="1" applyBorder="1" applyAlignment="1">
      <alignment horizontal="right" vertical="top" wrapText="1"/>
    </xf>
    <xf numFmtId="169" fontId="6" fillId="0" borderId="4" xfId="3" applyNumberFormat="1" applyFont="1" applyFill="1" applyBorder="1" applyAlignment="1" applyProtection="1">
      <alignment vertical="top"/>
    </xf>
    <xf numFmtId="178" fontId="6" fillId="0" borderId="4" xfId="3" applyNumberFormat="1" applyFont="1" applyFill="1" applyBorder="1" applyAlignment="1" applyProtection="1">
      <alignment horizontal="center" vertical="top"/>
    </xf>
    <xf numFmtId="173" fontId="6" fillId="0" borderId="4" xfId="5" applyNumberFormat="1" applyFont="1" applyFill="1" applyBorder="1" applyAlignment="1">
      <alignment horizontal="right" vertical="top"/>
    </xf>
    <xf numFmtId="169" fontId="7" fillId="0" borderId="4" xfId="4" applyNumberFormat="1" applyFont="1" applyFill="1" applyBorder="1" applyAlignment="1" applyProtection="1">
      <alignment horizontal="right" vertical="top" wrapText="1"/>
    </xf>
    <xf numFmtId="183" fontId="7" fillId="0" borderId="2" xfId="5" applyFont="1" applyFill="1" applyBorder="1" applyAlignment="1">
      <alignment vertical="top" wrapText="1"/>
    </xf>
    <xf numFmtId="172" fontId="7" fillId="0" borderId="2" xfId="3" applyNumberFormat="1" applyFont="1" applyFill="1" applyBorder="1" applyAlignment="1" applyProtection="1">
      <alignment vertical="top" wrapText="1"/>
    </xf>
    <xf numFmtId="165" fontId="7" fillId="0" borderId="2" xfId="1" applyNumberFormat="1" applyFont="1" applyFill="1" applyBorder="1" applyAlignment="1" applyProtection="1">
      <alignment horizontal="center" vertical="top" wrapText="1"/>
    </xf>
    <xf numFmtId="180" fontId="6" fillId="0" borderId="3" xfId="1" applyNumberFormat="1" applyFont="1" applyFill="1" applyBorder="1" applyAlignment="1" applyProtection="1">
      <alignment horizontal="right" vertical="top" wrapText="1"/>
    </xf>
    <xf numFmtId="180" fontId="7" fillId="0" borderId="3" xfId="1" applyNumberFormat="1" applyFont="1" applyFill="1" applyBorder="1" applyAlignment="1" applyProtection="1">
      <alignment horizontal="right" vertical="top" wrapText="1"/>
    </xf>
    <xf numFmtId="183" fontId="7" fillId="0" borderId="0" xfId="5" applyFont="1" applyFill="1" applyAlignment="1">
      <alignment vertical="top" wrapText="1"/>
    </xf>
    <xf numFmtId="183" fontId="7" fillId="0" borderId="0" xfId="5" applyFont="1" applyFill="1" applyAlignment="1">
      <alignment horizontal="right" vertical="top"/>
    </xf>
    <xf numFmtId="183" fontId="7" fillId="0" borderId="3" xfId="5" applyFont="1" applyFill="1" applyBorder="1" applyAlignment="1">
      <alignment vertical="top" wrapText="1"/>
    </xf>
    <xf numFmtId="172" fontId="7" fillId="0" borderId="3" xfId="3" applyNumberFormat="1" applyFont="1" applyFill="1" applyBorder="1" applyAlignment="1" applyProtection="1">
      <alignment vertical="top" wrapText="1"/>
    </xf>
    <xf numFmtId="165" fontId="7" fillId="0" borderId="3" xfId="1" applyNumberFormat="1" applyFont="1" applyFill="1" applyBorder="1" applyAlignment="1" applyProtection="1">
      <alignment horizontal="center" vertical="top" wrapText="1"/>
    </xf>
    <xf numFmtId="180" fontId="20" fillId="0" borderId="3" xfId="1" applyNumberFormat="1" applyFont="1" applyFill="1" applyBorder="1" applyAlignment="1" applyProtection="1">
      <alignment horizontal="right" vertical="top" wrapText="1"/>
    </xf>
    <xf numFmtId="183" fontId="7" fillId="0" borderId="0" xfId="5" applyFont="1" applyAlignment="1">
      <alignment horizontal="center" vertical="top"/>
    </xf>
    <xf numFmtId="183" fontId="7" fillId="0" borderId="0" xfId="5" applyFont="1" applyAlignment="1">
      <alignment horizontal="left" vertical="top" wrapText="1"/>
    </xf>
    <xf numFmtId="168" fontId="7" fillId="0" borderId="0" xfId="5" applyNumberFormat="1" applyFont="1" applyAlignment="1">
      <alignment vertical="top"/>
    </xf>
    <xf numFmtId="177" fontId="7" fillId="0" borderId="0" xfId="5" applyNumberFormat="1" applyFont="1" applyFill="1" applyAlignment="1">
      <alignment horizontal="right" vertical="top"/>
    </xf>
    <xf numFmtId="177" fontId="6" fillId="0" borderId="0" xfId="5" applyNumberFormat="1" applyFont="1" applyFill="1" applyAlignment="1">
      <alignment horizontal="right" vertical="top"/>
    </xf>
    <xf numFmtId="177" fontId="6" fillId="0" borderId="0" xfId="5" applyNumberFormat="1" applyFont="1" applyAlignment="1">
      <alignment horizontal="right" vertical="top"/>
    </xf>
    <xf numFmtId="183" fontId="7" fillId="0" borderId="0" xfId="5" applyFont="1" applyAlignment="1">
      <alignment horizontal="right" vertical="top"/>
    </xf>
    <xf numFmtId="174" fontId="6" fillId="0" borderId="0" xfId="5" applyNumberFormat="1" applyFont="1" applyFill="1" applyAlignment="1">
      <alignment horizontal="right" vertical="top"/>
    </xf>
    <xf numFmtId="183" fontId="6" fillId="0" borderId="0" xfId="5" applyFont="1" applyFill="1" applyBorder="1" applyAlignment="1">
      <alignment vertical="top"/>
    </xf>
    <xf numFmtId="183" fontId="6" fillId="0" borderId="0" xfId="5" applyFont="1" applyAlignment="1">
      <alignment horizontal="center" vertical="top"/>
    </xf>
    <xf numFmtId="168" fontId="6" fillId="0" borderId="0" xfId="5" applyNumberFormat="1" applyFont="1" applyAlignment="1">
      <alignment vertical="top"/>
    </xf>
    <xf numFmtId="183" fontId="6" fillId="0" borderId="0" xfId="5" applyFont="1" applyAlignment="1">
      <alignment horizontal="center" vertical="top" wrapText="1"/>
    </xf>
    <xf numFmtId="183" fontId="6" fillId="0" borderId="0" xfId="5" applyFont="1" applyAlignment="1">
      <alignment horizontal="right" vertical="top"/>
    </xf>
    <xf numFmtId="183" fontId="6" fillId="0" borderId="0" xfId="5" applyFont="1" applyBorder="1" applyAlignment="1">
      <alignment vertical="top"/>
    </xf>
    <xf numFmtId="183" fontId="20" fillId="0" borderId="0" xfId="5" applyFont="1" applyAlignment="1">
      <alignment horizontal="left" vertical="top" wrapText="1"/>
    </xf>
    <xf numFmtId="183" fontId="7" fillId="0" borderId="0" xfId="5" applyFont="1" applyAlignment="1">
      <alignment horizontal="right" vertical="top" wrapText="1"/>
    </xf>
    <xf numFmtId="183" fontId="7" fillId="0" borderId="0" xfId="5" applyFont="1" applyAlignment="1">
      <alignment vertical="top"/>
    </xf>
    <xf numFmtId="183" fontId="7" fillId="0" borderId="4" xfId="5" applyFont="1" applyBorder="1" applyAlignment="1">
      <alignment horizontal="left" vertical="top" wrapText="1"/>
    </xf>
    <xf numFmtId="183" fontId="20" fillId="0" borderId="4" xfId="5" applyFont="1" applyBorder="1" applyAlignment="1">
      <alignment horizontal="right" vertical="top" wrapText="1"/>
    </xf>
    <xf numFmtId="183" fontId="20" fillId="6" borderId="4" xfId="5" applyFont="1" applyFill="1" applyBorder="1" applyAlignment="1">
      <alignment horizontal="left" vertical="top" textRotation="90" wrapText="1"/>
    </xf>
    <xf numFmtId="171" fontId="20" fillId="6" borderId="4" xfId="4" applyNumberFormat="1" applyFont="1" applyFill="1" applyBorder="1" applyAlignment="1" applyProtection="1">
      <alignment horizontal="left" vertical="top" wrapText="1"/>
    </xf>
    <xf numFmtId="183" fontId="20" fillId="5" borderId="4" xfId="5" applyFont="1" applyFill="1" applyBorder="1" applyAlignment="1">
      <alignment horizontal="left" vertical="top" textRotation="90" wrapText="1"/>
    </xf>
    <xf numFmtId="171" fontId="20" fillId="5" borderId="4" xfId="4" applyNumberFormat="1" applyFont="1" applyFill="1" applyBorder="1" applyAlignment="1" applyProtection="1">
      <alignment horizontal="left" vertical="top" wrapText="1"/>
    </xf>
    <xf numFmtId="183" fontId="20" fillId="0" borderId="4" xfId="5" applyFont="1" applyBorder="1" applyAlignment="1">
      <alignment horizontal="left" vertical="top" textRotation="90" wrapText="1"/>
    </xf>
    <xf numFmtId="171" fontId="20" fillId="0" borderId="4" xfId="4" applyNumberFormat="1" applyFont="1" applyFill="1" applyBorder="1" applyAlignment="1" applyProtection="1">
      <alignment horizontal="left" vertical="top" wrapText="1"/>
    </xf>
    <xf numFmtId="183" fontId="20" fillId="7" borderId="4" xfId="5" applyFont="1" applyFill="1" applyBorder="1" applyAlignment="1">
      <alignment horizontal="left" vertical="top" textRotation="90" wrapText="1"/>
    </xf>
    <xf numFmtId="171" fontId="20" fillId="7" borderId="4" xfId="4" applyNumberFormat="1" applyFont="1" applyFill="1" applyBorder="1" applyAlignment="1" applyProtection="1">
      <alignment horizontal="left" vertical="top" wrapText="1"/>
    </xf>
    <xf numFmtId="183" fontId="20" fillId="8" borderId="4" xfId="5" applyFont="1" applyFill="1" applyBorder="1" applyAlignment="1">
      <alignment horizontal="left" vertical="top" textRotation="90" wrapText="1"/>
    </xf>
    <xf numFmtId="171" fontId="20" fillId="8" borderId="4" xfId="4" applyNumberFormat="1" applyFont="1" applyFill="1" applyBorder="1" applyAlignment="1" applyProtection="1">
      <alignment horizontal="left" vertical="top" wrapText="1"/>
    </xf>
    <xf numFmtId="183" fontId="20" fillId="9" borderId="4" xfId="5" applyFont="1" applyFill="1" applyBorder="1" applyAlignment="1">
      <alignment horizontal="left" vertical="top" textRotation="90" wrapText="1"/>
    </xf>
    <xf numFmtId="171" fontId="20" fillId="9" borderId="4" xfId="4" applyNumberFormat="1" applyFont="1" applyFill="1" applyBorder="1" applyAlignment="1" applyProtection="1">
      <alignment horizontal="left" vertical="top" wrapText="1"/>
    </xf>
    <xf numFmtId="183" fontId="20" fillId="6" borderId="4" xfId="5" applyFont="1" applyFill="1" applyBorder="1" applyAlignment="1">
      <alignment horizontal="right" vertical="top" wrapText="1"/>
    </xf>
    <xf numFmtId="171" fontId="20" fillId="6" borderId="4" xfId="4" applyNumberFormat="1" applyFont="1" applyFill="1" applyBorder="1" applyAlignment="1" applyProtection="1">
      <alignment horizontal="right" vertical="top" wrapText="1"/>
    </xf>
    <xf numFmtId="183" fontId="20" fillId="5" borderId="4" xfId="5" applyFont="1" applyFill="1" applyBorder="1" applyAlignment="1">
      <alignment horizontal="right" vertical="top" wrapText="1"/>
    </xf>
    <xf numFmtId="171" fontId="20" fillId="5" borderId="4" xfId="4" applyNumberFormat="1" applyFont="1" applyFill="1" applyBorder="1" applyAlignment="1" applyProtection="1">
      <alignment horizontal="right" vertical="top" wrapText="1"/>
    </xf>
    <xf numFmtId="183" fontId="21" fillId="0" borderId="4" xfId="5" applyFont="1" applyBorder="1" applyAlignment="1">
      <alignment horizontal="right" vertical="top" wrapText="1"/>
    </xf>
    <xf numFmtId="171" fontId="20" fillId="0" borderId="4" xfId="4" applyNumberFormat="1" applyFont="1" applyFill="1" applyBorder="1" applyAlignment="1" applyProtection="1">
      <alignment horizontal="right" vertical="top" wrapText="1"/>
    </xf>
    <xf numFmtId="183" fontId="20" fillId="7" borderId="4" xfId="5" applyFont="1" applyFill="1" applyBorder="1" applyAlignment="1">
      <alignment horizontal="right" vertical="top" wrapText="1"/>
    </xf>
    <xf numFmtId="171" fontId="20" fillId="7" borderId="4" xfId="4" applyNumberFormat="1" applyFont="1" applyFill="1" applyBorder="1" applyAlignment="1" applyProtection="1">
      <alignment horizontal="right" vertical="top" wrapText="1"/>
    </xf>
    <xf numFmtId="183" fontId="20" fillId="8" borderId="4" xfId="5" applyFont="1" applyFill="1" applyBorder="1" applyAlignment="1">
      <alignment horizontal="right" vertical="top" wrapText="1"/>
    </xf>
    <xf numFmtId="171" fontId="20" fillId="8" borderId="4" xfId="4" applyNumberFormat="1" applyFont="1" applyFill="1" applyBorder="1" applyAlignment="1" applyProtection="1">
      <alignment horizontal="right" vertical="top" wrapText="1"/>
    </xf>
    <xf numFmtId="183" fontId="20" fillId="9" borderId="4" xfId="5" applyFont="1" applyFill="1" applyBorder="1" applyAlignment="1">
      <alignment horizontal="right" vertical="top" wrapText="1"/>
    </xf>
    <xf numFmtId="171" fontId="20" fillId="9" borderId="4" xfId="4" applyNumberFormat="1" applyFont="1" applyFill="1" applyBorder="1" applyAlignment="1" applyProtection="1">
      <alignment horizontal="right" vertical="top" wrapText="1"/>
    </xf>
    <xf numFmtId="183" fontId="7" fillId="0" borderId="0" xfId="5" applyFont="1" applyAlignment="1">
      <alignment vertical="top" wrapText="1"/>
    </xf>
    <xf numFmtId="183" fontId="7" fillId="0" borderId="3" xfId="5" applyFont="1" applyBorder="1" applyAlignment="1">
      <alignment horizontal="left" vertical="top" wrapText="1"/>
    </xf>
    <xf numFmtId="183" fontId="7" fillId="6" borderId="3" xfId="5" applyFont="1" applyFill="1" applyBorder="1" applyAlignment="1">
      <alignment horizontal="right" vertical="top" wrapText="1"/>
    </xf>
    <xf numFmtId="183" fontId="7" fillId="7" borderId="3" xfId="5" applyFont="1" applyFill="1" applyBorder="1" applyAlignment="1">
      <alignment horizontal="right" vertical="top" wrapText="1"/>
    </xf>
    <xf numFmtId="183" fontId="7" fillId="8" borderId="3" xfId="5" applyFont="1" applyFill="1" applyBorder="1" applyAlignment="1">
      <alignment horizontal="right" vertical="top" wrapText="1"/>
    </xf>
    <xf numFmtId="183" fontId="7" fillId="9" borderId="3" xfId="5" applyFont="1" applyFill="1" applyBorder="1" applyAlignment="1">
      <alignment horizontal="right" vertical="top" wrapText="1"/>
    </xf>
    <xf numFmtId="183" fontId="22" fillId="0" borderId="3" xfId="5" applyFont="1" applyBorder="1" applyAlignment="1">
      <alignment horizontal="right" vertical="top" wrapText="1"/>
    </xf>
    <xf numFmtId="183" fontId="7" fillId="6" borderId="4" xfId="5" applyFont="1" applyFill="1" applyBorder="1" applyAlignment="1">
      <alignment horizontal="right" vertical="top" wrapText="1"/>
    </xf>
    <xf numFmtId="183" fontId="7" fillId="0" borderId="4" xfId="5" applyFont="1" applyBorder="1" applyAlignment="1">
      <alignment horizontal="right" vertical="top" wrapText="1"/>
    </xf>
    <xf numFmtId="183" fontId="7" fillId="7" borderId="4" xfId="5" applyFont="1" applyFill="1" applyBorder="1" applyAlignment="1">
      <alignment horizontal="right" vertical="top" wrapText="1"/>
    </xf>
    <xf numFmtId="183" fontId="7" fillId="8" borderId="4" xfId="5" applyFont="1" applyFill="1" applyBorder="1" applyAlignment="1">
      <alignment horizontal="right" vertical="top" wrapText="1"/>
    </xf>
    <xf numFmtId="183" fontId="7" fillId="9" borderId="4" xfId="5" applyFont="1" applyFill="1" applyBorder="1" applyAlignment="1">
      <alignment horizontal="right" vertical="top" wrapText="1"/>
    </xf>
    <xf numFmtId="183" fontId="22" fillId="0" borderId="4" xfId="5" applyFont="1" applyBorder="1" applyAlignment="1">
      <alignment horizontal="right" vertical="top" wrapText="1"/>
    </xf>
    <xf numFmtId="183" fontId="11" fillId="0" borderId="4" xfId="5" applyFont="1" applyBorder="1" applyAlignment="1">
      <alignment horizontal="left" vertical="top" wrapText="1"/>
    </xf>
    <xf numFmtId="183" fontId="7" fillId="0" borderId="0" xfId="5" applyFont="1" applyBorder="1" applyAlignment="1">
      <alignment horizontal="left" vertical="top" wrapText="1"/>
    </xf>
    <xf numFmtId="183" fontId="7" fillId="0" borderId="0" xfId="5" applyFont="1" applyBorder="1" applyAlignment="1">
      <alignment horizontal="right" vertical="top" wrapText="1"/>
    </xf>
    <xf numFmtId="183" fontId="22" fillId="0" borderId="0" xfId="5" applyFont="1" applyBorder="1" applyAlignment="1">
      <alignment horizontal="right" vertical="top" wrapText="1"/>
    </xf>
    <xf numFmtId="183" fontId="20" fillId="0" borderId="0" xfId="5" applyFont="1" applyAlignment="1">
      <alignment horizontal="right" vertical="top" wrapText="1"/>
    </xf>
    <xf numFmtId="183" fontId="7" fillId="0" borderId="0" xfId="5" applyFont="1" applyAlignment="1">
      <alignment horizontal="left" vertical="top"/>
    </xf>
    <xf numFmtId="183" fontId="24" fillId="0" borderId="0" xfId="5" applyFont="1" applyAlignment="1">
      <alignment vertical="center"/>
    </xf>
    <xf numFmtId="183" fontId="1" fillId="0" borderId="0" xfId="5"/>
    <xf numFmtId="165" fontId="1" fillId="0" borderId="0" xfId="5" applyNumberFormat="1" applyFont="1" applyAlignment="1">
      <alignment wrapText="1"/>
    </xf>
    <xf numFmtId="183" fontId="1" fillId="0" borderId="0" xfId="5" applyFill="1"/>
    <xf numFmtId="183" fontId="1" fillId="0" borderId="0" xfId="5" applyFont="1" applyAlignment="1">
      <alignment wrapText="1"/>
    </xf>
    <xf numFmtId="183" fontId="1" fillId="0" borderId="0" xfId="5" applyAlignment="1">
      <alignment wrapText="1"/>
    </xf>
    <xf numFmtId="183" fontId="1" fillId="10" borderId="0" xfId="5" applyFill="1"/>
    <xf numFmtId="183" fontId="15" fillId="0" borderId="0" xfId="5" applyFont="1"/>
    <xf numFmtId="183" fontId="1" fillId="0" borderId="0" xfId="5" applyFont="1"/>
    <xf numFmtId="183" fontId="25" fillId="0" borderId="0" xfId="5" applyFont="1" applyAlignment="1">
      <alignment vertical="center"/>
    </xf>
    <xf numFmtId="183" fontId="1" fillId="0" borderId="0" xfId="5" applyFont="1" applyAlignment="1">
      <alignment vertical="center"/>
    </xf>
    <xf numFmtId="183" fontId="25" fillId="0" borderId="0" xfId="5" applyFont="1"/>
    <xf numFmtId="183" fontId="1" fillId="4" borderId="0" xfId="5" applyFill="1"/>
    <xf numFmtId="183" fontId="8" fillId="0" borderId="4" xfId="5" applyFont="1" applyFill="1" applyBorder="1" applyAlignment="1">
      <alignment horizontal="center" vertical="top" wrapText="1"/>
    </xf>
    <xf numFmtId="49" fontId="8" fillId="0" borderId="1" xfId="5" applyNumberFormat="1" applyFont="1" applyFill="1" applyBorder="1" applyAlignment="1">
      <alignment horizontal="center" vertical="top" wrapText="1"/>
    </xf>
    <xf numFmtId="49" fontId="8" fillId="0" borderId="3" xfId="5" applyNumberFormat="1" applyFont="1" applyFill="1" applyBorder="1" applyAlignment="1">
      <alignment horizontal="center" vertical="top" wrapText="1"/>
    </xf>
    <xf numFmtId="183" fontId="8" fillId="2" borderId="2" xfId="5" applyFont="1" applyFill="1" applyBorder="1" applyAlignment="1">
      <alignment horizontal="center" vertical="top" wrapText="1"/>
    </xf>
    <xf numFmtId="183" fontId="8" fillId="2" borderId="4" xfId="5" applyFont="1" applyFill="1" applyBorder="1" applyAlignment="1">
      <alignment horizontal="center" vertical="top" wrapText="1"/>
    </xf>
    <xf numFmtId="183" fontId="8" fillId="0" borderId="2" xfId="5" applyFont="1" applyFill="1" applyBorder="1" applyAlignment="1">
      <alignment horizontal="center" vertical="top" wrapText="1"/>
    </xf>
    <xf numFmtId="183" fontId="8" fillId="0" borderId="4" xfId="8" applyFont="1" applyFill="1" applyBorder="1" applyAlignment="1">
      <alignment horizontal="center" vertical="top" wrapText="1"/>
    </xf>
    <xf numFmtId="183" fontId="8" fillId="0" borderId="2" xfId="8" applyFont="1" applyFill="1" applyBorder="1" applyAlignment="1">
      <alignment horizontal="center" vertical="top" wrapText="1"/>
    </xf>
    <xf numFmtId="183" fontId="8" fillId="0" borderId="3" xfId="5" applyFont="1" applyFill="1" applyBorder="1" applyAlignment="1">
      <alignment horizontal="center" vertical="top" wrapText="1"/>
    </xf>
    <xf numFmtId="183" fontId="10" fillId="0" borderId="2" xfId="5" applyFont="1" applyFill="1" applyBorder="1" applyAlignment="1">
      <alignment horizontal="center" vertical="top" wrapText="1"/>
    </xf>
    <xf numFmtId="183" fontId="8" fillId="0" borderId="2" xfId="5" applyFont="1" applyBorder="1" applyAlignment="1">
      <alignment horizontal="center" vertical="top" wrapText="1"/>
    </xf>
    <xf numFmtId="183" fontId="8" fillId="0" borderId="1" xfId="5" applyFont="1" applyFill="1" applyBorder="1" applyAlignment="1">
      <alignment horizontal="center" vertical="top" wrapText="1"/>
    </xf>
    <xf numFmtId="183" fontId="8" fillId="0" borderId="1" xfId="5" applyFont="1" applyBorder="1" applyAlignment="1">
      <alignment horizontal="center" vertical="top" wrapText="1"/>
    </xf>
    <xf numFmtId="183" fontId="8" fillId="0" borderId="3" xfId="5" applyFont="1" applyBorder="1" applyAlignment="1">
      <alignment horizontal="center" vertical="top" wrapText="1"/>
    </xf>
    <xf numFmtId="183" fontId="8" fillId="0" borderId="4" xfId="5" applyFont="1" applyBorder="1" applyAlignment="1">
      <alignment horizontal="center" vertical="top" wrapText="1"/>
    </xf>
    <xf numFmtId="49" fontId="8" fillId="5" borderId="1" xfId="5" applyNumberFormat="1" applyFont="1" applyFill="1" applyBorder="1" applyAlignment="1">
      <alignment horizontal="center" vertical="top" wrapText="1"/>
    </xf>
    <xf numFmtId="49" fontId="8" fillId="5" borderId="3" xfId="5" applyNumberFormat="1" applyFont="1" applyFill="1" applyBorder="1" applyAlignment="1">
      <alignment horizontal="center" vertical="top" wrapText="1"/>
    </xf>
    <xf numFmtId="183" fontId="8" fillId="5" borderId="2" xfId="5" applyFont="1" applyFill="1" applyBorder="1" applyAlignment="1">
      <alignment horizontal="center" vertical="top" wrapText="1"/>
    </xf>
    <xf numFmtId="49" fontId="8" fillId="5" borderId="4" xfId="5" applyNumberFormat="1" applyFont="1" applyFill="1" applyBorder="1" applyAlignment="1">
      <alignment horizontal="center" vertical="top" wrapText="1"/>
    </xf>
    <xf numFmtId="49" fontId="8" fillId="0" borderId="4" xfId="5" applyNumberFormat="1" applyFont="1" applyFill="1" applyBorder="1" applyAlignment="1">
      <alignment horizontal="center" vertical="top" wrapText="1"/>
    </xf>
    <xf numFmtId="183" fontId="8" fillId="0" borderId="0" xfId="5" applyFont="1" applyAlignment="1">
      <alignment horizontal="center" vertical="top" wrapText="1"/>
    </xf>
    <xf numFmtId="183" fontId="6" fillId="0" borderId="6" xfId="5" applyFont="1" applyFill="1" applyBorder="1" applyAlignment="1">
      <alignment vertical="top"/>
    </xf>
    <xf numFmtId="183" fontId="8" fillId="0" borderId="6" xfId="5" applyFont="1" applyBorder="1" applyAlignment="1">
      <alignment horizontal="center" vertical="top" wrapText="1"/>
    </xf>
    <xf numFmtId="183" fontId="6" fillId="0" borderId="6" xfId="5" applyFont="1" applyBorder="1" applyAlignment="1">
      <alignment horizontal="center" vertical="top"/>
    </xf>
    <xf numFmtId="172" fontId="6" fillId="0" borderId="6" xfId="5" applyNumberFormat="1" applyFont="1" applyBorder="1" applyAlignment="1">
      <alignment horizontal="right" vertical="top"/>
    </xf>
    <xf numFmtId="178" fontId="6" fillId="0" borderId="6" xfId="5" applyNumberFormat="1" applyFont="1" applyBorder="1" applyAlignment="1">
      <alignment horizontal="center" vertical="top"/>
    </xf>
    <xf numFmtId="173" fontId="6" fillId="0" borderId="6" xfId="5" applyNumberFormat="1" applyFont="1" applyBorder="1" applyAlignment="1">
      <alignment horizontal="right" vertical="top"/>
    </xf>
    <xf numFmtId="179" fontId="6" fillId="0" borderId="6" xfId="5" applyNumberFormat="1" applyFont="1" applyBorder="1" applyAlignment="1">
      <alignment horizontal="right" vertical="top"/>
    </xf>
    <xf numFmtId="176" fontId="6" fillId="0" borderId="6" xfId="5" applyNumberFormat="1" applyFont="1" applyBorder="1" applyAlignment="1">
      <alignment horizontal="right" vertical="top"/>
    </xf>
    <xf numFmtId="183" fontId="7" fillId="0" borderId="6" xfId="5" applyFont="1" applyBorder="1" applyAlignment="1">
      <alignment horizontal="right" vertical="top"/>
    </xf>
    <xf numFmtId="0" fontId="0" fillId="0" borderId="0" xfId="0" applyAlignment="1">
      <alignment vertical="top"/>
    </xf>
    <xf numFmtId="183" fontId="12" fillId="0" borderId="0" xfId="5" applyFont="1" applyAlignment="1">
      <alignment horizontal="left" vertical="top" wrapText="1"/>
    </xf>
    <xf numFmtId="183" fontId="13" fillId="0" borderId="0" xfId="5" applyFont="1" applyAlignment="1">
      <alignment horizontal="left" vertical="top" wrapText="1"/>
    </xf>
    <xf numFmtId="183" fontId="12" fillId="0" borderId="0" xfId="5" applyFont="1" applyAlignment="1">
      <alignment vertical="top" wrapText="1"/>
    </xf>
    <xf numFmtId="183" fontId="14" fillId="0" borderId="0" xfId="5" applyFont="1" applyAlignment="1">
      <alignment vertical="top" wrapText="1"/>
    </xf>
    <xf numFmtId="183" fontId="16" fillId="0" borderId="0" xfId="5" applyFont="1" applyFill="1" applyBorder="1" applyAlignment="1">
      <alignment vertical="top"/>
    </xf>
    <xf numFmtId="183" fontId="1" fillId="0" borderId="0" xfId="5" applyAlignment="1">
      <alignment vertical="top"/>
    </xf>
    <xf numFmtId="183" fontId="26" fillId="0" borderId="1" xfId="5" applyFont="1" applyFill="1" applyBorder="1" applyAlignment="1">
      <alignment horizontal="left" vertical="top" wrapText="1"/>
    </xf>
    <xf numFmtId="183" fontId="26" fillId="0" borderId="3" xfId="5" applyFont="1" applyFill="1" applyBorder="1" applyAlignment="1">
      <alignment horizontal="left" vertical="top" wrapText="1"/>
    </xf>
    <xf numFmtId="183" fontId="26" fillId="0" borderId="1" xfId="5" applyFont="1" applyFill="1" applyBorder="1" applyAlignment="1">
      <alignment horizontal="center" vertical="top" wrapText="1"/>
    </xf>
    <xf numFmtId="183" fontId="26" fillId="2" borderId="2" xfId="5" applyFont="1" applyFill="1" applyBorder="1" applyAlignment="1">
      <alignment horizontal="left" vertical="top" wrapText="1"/>
    </xf>
    <xf numFmtId="183" fontId="26" fillId="2" borderId="4" xfId="5" applyFont="1" applyFill="1" applyBorder="1" applyAlignment="1">
      <alignment horizontal="left" vertical="top" wrapText="1"/>
    </xf>
    <xf numFmtId="183" fontId="26" fillId="0" borderId="2" xfId="5" applyFont="1" applyFill="1" applyBorder="1" applyAlignment="1">
      <alignment horizontal="left" vertical="top" wrapText="1"/>
    </xf>
    <xf numFmtId="183" fontId="26" fillId="0" borderId="4" xfId="8" applyFont="1" applyFill="1" applyBorder="1" applyAlignment="1">
      <alignment horizontal="left" vertical="top" wrapText="1"/>
    </xf>
    <xf numFmtId="183" fontId="26" fillId="0" borderId="2" xfId="8" applyFont="1" applyBorder="1" applyAlignment="1">
      <alignment horizontal="left" vertical="top" wrapText="1"/>
    </xf>
    <xf numFmtId="183" fontId="26" fillId="0" borderId="2" xfId="5" applyFont="1" applyBorder="1" applyAlignment="1">
      <alignment horizontal="left" vertical="top"/>
    </xf>
    <xf numFmtId="183" fontId="26" fillId="3" borderId="4" xfId="12" applyFont="1" applyFill="1" applyBorder="1" applyAlignment="1">
      <alignment horizontal="left" vertical="top" wrapText="1"/>
    </xf>
    <xf numFmtId="183" fontId="26" fillId="3" borderId="2" xfId="5" applyFont="1" applyFill="1" applyBorder="1" applyAlignment="1">
      <alignment horizontal="left" vertical="top" wrapText="1"/>
    </xf>
    <xf numFmtId="183" fontId="26" fillId="3" borderId="4" xfId="5" applyFont="1" applyFill="1" applyBorder="1" applyAlignment="1">
      <alignment horizontal="left" vertical="top" wrapText="1"/>
    </xf>
    <xf numFmtId="183" fontId="28" fillId="0" borderId="2" xfId="5" applyFont="1" applyFill="1" applyBorder="1" applyAlignment="1">
      <alignment horizontal="left" vertical="top" wrapText="1"/>
    </xf>
    <xf numFmtId="183" fontId="26" fillId="0" borderId="2" xfId="5" applyFont="1" applyBorder="1" applyAlignment="1">
      <alignment horizontal="left" vertical="top" wrapText="1"/>
    </xf>
    <xf numFmtId="183" fontId="26" fillId="0" borderId="2" xfId="5" applyFont="1" applyFill="1" applyBorder="1" applyAlignment="1">
      <alignment horizontal="left" vertical="top"/>
    </xf>
    <xf numFmtId="183" fontId="26" fillId="0" borderId="1" xfId="5" applyFont="1" applyBorder="1" applyAlignment="1">
      <alignment horizontal="left" vertical="top" wrapText="1"/>
    </xf>
    <xf numFmtId="183" fontId="26" fillId="0" borderId="3" xfId="5" applyFont="1" applyBorder="1" applyAlignment="1">
      <alignment horizontal="left" vertical="top" wrapText="1"/>
    </xf>
    <xf numFmtId="183" fontId="29" fillId="0" borderId="2" xfId="5" applyFont="1" applyBorder="1" applyAlignment="1">
      <alignment horizontal="left" vertical="top" wrapText="1"/>
    </xf>
    <xf numFmtId="183" fontId="28" fillId="0" borderId="2" xfId="5" applyFont="1" applyBorder="1" applyAlignment="1">
      <alignment horizontal="left" vertical="top" wrapText="1"/>
    </xf>
    <xf numFmtId="183" fontId="26" fillId="0" borderId="0" xfId="5" applyFont="1" applyAlignment="1">
      <alignment horizontal="justify" vertical="top" wrapText="1"/>
    </xf>
    <xf numFmtId="164" fontId="26" fillId="0" borderId="2" xfId="5" applyNumberFormat="1" applyFont="1" applyFill="1" applyBorder="1" applyAlignment="1">
      <alignment horizontal="left" vertical="top" wrapText="1"/>
    </xf>
    <xf numFmtId="183" fontId="26" fillId="4" borderId="4" xfId="5" applyFont="1" applyFill="1" applyBorder="1" applyAlignment="1">
      <alignment horizontal="left" vertical="top" wrapText="1"/>
    </xf>
    <xf numFmtId="183" fontId="26" fillId="0" borderId="4" xfId="5" applyFont="1" applyBorder="1" applyAlignment="1">
      <alignment horizontal="left" vertical="top" wrapText="1"/>
    </xf>
    <xf numFmtId="183" fontId="26" fillId="0" borderId="6" xfId="5" applyFont="1" applyBorder="1" applyAlignment="1">
      <alignment horizontal="left" vertical="top" wrapText="1"/>
    </xf>
    <xf numFmtId="183" fontId="26" fillId="5" borderId="1" xfId="5" applyFont="1" applyFill="1" applyBorder="1" applyAlignment="1">
      <alignment horizontal="left" vertical="top" wrapText="1"/>
    </xf>
    <xf numFmtId="183" fontId="26" fillId="5" borderId="3" xfId="5" applyFont="1" applyFill="1" applyBorder="1" applyAlignment="1">
      <alignment horizontal="left" vertical="top" wrapText="1"/>
    </xf>
    <xf numFmtId="183" fontId="26" fillId="5" borderId="2" xfId="5" applyFont="1" applyFill="1" applyBorder="1" applyAlignment="1">
      <alignment horizontal="left" vertical="top" wrapText="1"/>
    </xf>
    <xf numFmtId="183" fontId="26" fillId="5" borderId="4" xfId="5" applyFont="1" applyFill="1" applyBorder="1" applyAlignment="1">
      <alignment horizontal="left" vertical="top" wrapText="1"/>
    </xf>
    <xf numFmtId="183" fontId="26" fillId="0" borderId="4" xfId="5" applyFont="1" applyFill="1" applyBorder="1" applyAlignment="1">
      <alignment horizontal="left" vertical="top" wrapText="1"/>
    </xf>
    <xf numFmtId="183" fontId="29" fillId="0" borderId="4" xfId="5" applyFont="1" applyFill="1" applyBorder="1" applyAlignment="1">
      <alignment horizontal="left" vertical="top" wrapText="1"/>
    </xf>
    <xf numFmtId="183" fontId="28" fillId="0" borderId="4" xfId="5" applyFont="1" applyFill="1" applyBorder="1" applyAlignment="1">
      <alignment horizontal="left" vertical="top" wrapText="1"/>
    </xf>
    <xf numFmtId="183" fontId="26" fillId="0" borderId="0" xfId="5" applyFont="1" applyAlignment="1">
      <alignment horizontal="left" vertical="top" wrapText="1"/>
    </xf>
    <xf numFmtId="183" fontId="26" fillId="0" borderId="0" xfId="5" applyFont="1" applyFill="1" applyAlignment="1">
      <alignment horizontal="left" vertical="top" wrapText="1"/>
    </xf>
    <xf numFmtId="183" fontId="29" fillId="0" borderId="0" xfId="5" applyFont="1" applyAlignment="1">
      <alignment horizontal="left" vertical="top"/>
    </xf>
    <xf numFmtId="183" fontId="26" fillId="0" borderId="0" xfId="5" applyFont="1" applyAlignment="1">
      <alignment horizontal="left" vertical="top"/>
    </xf>
    <xf numFmtId="14" fontId="26" fillId="0" borderId="0" xfId="5" applyNumberFormat="1" applyFont="1" applyAlignment="1">
      <alignment horizontal="left" vertical="top" wrapText="1"/>
    </xf>
    <xf numFmtId="183" fontId="6" fillId="0" borderId="1" xfId="5" applyFont="1" applyFill="1" applyBorder="1" applyAlignment="1">
      <alignment horizontal="left" vertical="top"/>
    </xf>
    <xf numFmtId="2" fontId="32" fillId="0" borderId="0" xfId="16" applyNumberFormat="1" applyFont="1"/>
  </cellXfs>
  <cellStyles count="17">
    <cellStyle name="Čárka" xfId="16" builtinId="3"/>
    <cellStyle name="Čárka 2" xfId="1" xr:uid="{00000000-0005-0000-0000-000000000000}"/>
    <cellStyle name="čtyřimísta" xfId="2" xr:uid="{00000000-0005-0000-0000-000001000000}"/>
    <cellStyle name="Excel Built-in Comma" xfId="3" xr:uid="{00000000-0005-0000-0000-000002000000}"/>
    <cellStyle name="Excel Built-in Currency" xfId="4" xr:uid="{00000000-0005-0000-0000-000003000000}"/>
    <cellStyle name="Excel Built-in Normal" xfId="5" xr:uid="{00000000-0005-0000-0000-000004000000}"/>
    <cellStyle name="Excel Built-in Normal 1" xfId="6" xr:uid="{00000000-0005-0000-0000-000005000000}"/>
    <cellStyle name="Excel Built-in Normal 2" xfId="7" xr:uid="{00000000-0005-0000-0000-000006000000}"/>
    <cellStyle name="Excel Built-in Normal 3" xfId="8" xr:uid="{00000000-0005-0000-0000-000007000000}"/>
    <cellStyle name="Heading" xfId="9" xr:uid="{00000000-0005-0000-0000-000008000000}"/>
    <cellStyle name="Heading1" xfId="10" xr:uid="{00000000-0005-0000-0000-000009000000}"/>
    <cellStyle name="Normální" xfId="0" builtinId="0" customBuiltin="1"/>
    <cellStyle name="Normální 2" xfId="11" xr:uid="{00000000-0005-0000-0000-00000B000000}"/>
    <cellStyle name="Normální 3" xfId="12" xr:uid="{00000000-0005-0000-0000-00000C000000}"/>
    <cellStyle name="Result" xfId="13" xr:uid="{00000000-0005-0000-0000-00000D000000}"/>
    <cellStyle name="Result2" xfId="14" xr:uid="{00000000-0005-0000-0000-00000E000000}"/>
    <cellStyle name="třimísta" xfId="15" xr:uid="{00000000-0005-0000-0000-00000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926"/>
  <sheetViews>
    <sheetView zoomScaleNormal="100" workbookViewId="0">
      <selection activeCell="H890" sqref="H890"/>
    </sheetView>
  </sheetViews>
  <sheetFormatPr defaultRowHeight="14.25" x14ac:dyDescent="0.2"/>
  <cols>
    <col min="1" max="1" width="0.375" style="305" customWidth="1"/>
    <col min="2" max="2" width="7.75" style="392" customWidth="1"/>
    <col min="3" max="3" width="51" style="440" customWidth="1"/>
    <col min="4" max="4" width="3.875" style="306" customWidth="1"/>
    <col min="5" max="5" width="8" style="21" bestFit="1" customWidth="1"/>
    <col min="6" max="6" width="5.75" style="306" bestFit="1" customWidth="1"/>
    <col min="7" max="7" width="10" style="309" customWidth="1"/>
    <col min="8" max="9" width="10.25" style="309" bestFit="1" customWidth="1"/>
    <col min="10" max="10" width="13.25" style="309" bestFit="1" customWidth="1"/>
    <col min="11" max="11" width="9.25" style="303" bestFit="1" customWidth="1"/>
    <col min="12" max="12" width="0.5" style="27" customWidth="1"/>
    <col min="13" max="13" width="9.875" style="21" customWidth="1"/>
    <col min="14" max="14" width="49.625" style="21" customWidth="1"/>
    <col min="15" max="1024" width="9.875" style="21" customWidth="1"/>
    <col min="1025" max="16384" width="9" style="402"/>
  </cols>
  <sheetData>
    <row r="1" spans="1:14" s="9" customFormat="1" ht="12.75" x14ac:dyDescent="0.2">
      <c r="A1" s="1"/>
      <c r="B1" s="373" t="s">
        <v>0</v>
      </c>
      <c r="C1" s="409" t="s">
        <v>1</v>
      </c>
      <c r="D1" s="2" t="s">
        <v>2</v>
      </c>
      <c r="E1" s="3" t="s">
        <v>3</v>
      </c>
      <c r="F1" s="1" t="s">
        <v>4</v>
      </c>
      <c r="G1" s="4" t="s">
        <v>5</v>
      </c>
      <c r="H1" s="445" t="s">
        <v>6</v>
      </c>
      <c r="I1" s="5" t="s">
        <v>7</v>
      </c>
      <c r="J1" s="6" t="s">
        <v>8</v>
      </c>
      <c r="K1" s="7"/>
      <c r="L1" s="8"/>
    </row>
    <row r="2" spans="1:14" s="9" customFormat="1" ht="12.75" x14ac:dyDescent="0.2">
      <c r="A2" s="10"/>
      <c r="B2" s="374" t="s">
        <v>9</v>
      </c>
      <c r="C2" s="410" t="s">
        <v>10</v>
      </c>
      <c r="D2" s="11"/>
      <c r="E2" s="12" t="s">
        <v>11</v>
      </c>
      <c r="F2" s="13" t="s">
        <v>12</v>
      </c>
      <c r="G2" s="14" t="s">
        <v>13</v>
      </c>
      <c r="H2" s="14" t="s">
        <v>14</v>
      </c>
      <c r="I2" s="15" t="s">
        <v>15</v>
      </c>
      <c r="J2" s="16" t="s">
        <v>16</v>
      </c>
      <c r="K2" s="17"/>
      <c r="L2" s="8"/>
    </row>
    <row r="3" spans="1:14" x14ac:dyDescent="0.2">
      <c r="A3" s="18">
        <v>1</v>
      </c>
      <c r="B3" s="373" t="s">
        <v>17</v>
      </c>
      <c r="C3" s="411">
        <v>3</v>
      </c>
      <c r="D3" s="2">
        <v>4</v>
      </c>
      <c r="E3" s="2">
        <v>5</v>
      </c>
      <c r="F3" s="2">
        <v>6</v>
      </c>
      <c r="G3" s="2">
        <v>7</v>
      </c>
      <c r="H3" s="2">
        <v>8</v>
      </c>
      <c r="I3" s="2">
        <v>9</v>
      </c>
      <c r="J3" s="2">
        <v>10</v>
      </c>
      <c r="K3" s="19">
        <v>11</v>
      </c>
      <c r="L3" s="20"/>
      <c r="N3" s="9"/>
    </row>
    <row r="4" spans="1:14" s="28" customFormat="1" ht="25.5" x14ac:dyDescent="0.2">
      <c r="A4" s="22"/>
      <c r="B4" s="375" t="s">
        <v>18</v>
      </c>
      <c r="C4" s="412" t="s">
        <v>19</v>
      </c>
      <c r="D4" s="23"/>
      <c r="E4" s="23" t="s">
        <v>20</v>
      </c>
      <c r="F4" s="24" t="s">
        <v>21</v>
      </c>
      <c r="G4" s="25" t="s">
        <v>22</v>
      </c>
      <c r="H4" s="25" t="s">
        <v>23</v>
      </c>
      <c r="I4" s="26" t="s">
        <v>24</v>
      </c>
      <c r="J4" s="26" t="s">
        <v>25</v>
      </c>
      <c r="K4" s="25" t="s">
        <v>26</v>
      </c>
      <c r="L4" s="27"/>
      <c r="N4" s="9"/>
    </row>
    <row r="5" spans="1:14" s="28" customFormat="1" ht="12.75" x14ac:dyDescent="0.2">
      <c r="A5" s="22"/>
      <c r="B5" s="375" t="s">
        <v>485</v>
      </c>
      <c r="C5" s="412" t="s">
        <v>486</v>
      </c>
      <c r="D5" s="23"/>
      <c r="E5" s="23"/>
      <c r="F5" s="24"/>
      <c r="G5" s="25"/>
      <c r="H5" s="25"/>
      <c r="I5" s="26"/>
      <c r="J5" s="26"/>
      <c r="K5" s="25"/>
      <c r="L5" s="27"/>
      <c r="N5" s="9"/>
    </row>
    <row r="6" spans="1:14" s="28" customFormat="1" ht="12.75" x14ac:dyDescent="0.2">
      <c r="A6" s="22"/>
      <c r="B6" s="375"/>
      <c r="C6" s="412" t="s">
        <v>487</v>
      </c>
      <c r="D6" s="23"/>
      <c r="E6" s="23"/>
      <c r="F6" s="24"/>
      <c r="G6" s="25"/>
      <c r="H6" s="25"/>
      <c r="I6" s="26"/>
      <c r="J6" s="26"/>
      <c r="K6" s="25"/>
      <c r="L6" s="27"/>
      <c r="N6" s="9"/>
    </row>
    <row r="7" spans="1:14" x14ac:dyDescent="0.2">
      <c r="A7" s="29">
        <v>3</v>
      </c>
      <c r="B7" s="376" t="s">
        <v>27</v>
      </c>
      <c r="C7" s="413" t="s">
        <v>28</v>
      </c>
      <c r="D7" s="30" t="s">
        <v>29</v>
      </c>
      <c r="E7" s="31">
        <f>I7/F7</f>
        <v>0</v>
      </c>
      <c r="F7" s="32">
        <f>COUNTA(C14:C19)</f>
        <v>6</v>
      </c>
      <c r="G7" s="33">
        <f>SUM(G8:G12)</f>
        <v>0</v>
      </c>
      <c r="H7" s="33">
        <f>SUM(H8:H12)</f>
        <v>0</v>
      </c>
      <c r="I7" s="33">
        <f>H7+G7</f>
        <v>0</v>
      </c>
      <c r="J7" s="33">
        <f>I7/100*21</f>
        <v>0</v>
      </c>
      <c r="K7" s="34">
        <f>J7+I7</f>
        <v>0</v>
      </c>
      <c r="L7" s="35"/>
      <c r="N7" s="9"/>
    </row>
    <row r="8" spans="1:14" x14ac:dyDescent="0.2">
      <c r="A8" s="36"/>
      <c r="B8" s="377">
        <v>112151312</v>
      </c>
      <c r="C8" s="414" t="s">
        <v>30</v>
      </c>
      <c r="D8" s="18" t="s">
        <v>31</v>
      </c>
      <c r="E8" s="38"/>
      <c r="F8" s="39">
        <f>F7</f>
        <v>6</v>
      </c>
      <c r="G8" s="40"/>
      <c r="H8" s="40">
        <f>E8*F8</f>
        <v>0</v>
      </c>
      <c r="I8" s="41"/>
      <c r="J8" s="42">
        <f>I8*F8</f>
        <v>0</v>
      </c>
      <c r="K8" s="43"/>
      <c r="L8" s="35"/>
      <c r="N8" s="9"/>
    </row>
    <row r="9" spans="1:14" x14ac:dyDescent="0.2">
      <c r="A9" s="36"/>
      <c r="B9" s="377" t="s">
        <v>32</v>
      </c>
      <c r="C9" s="414" t="s">
        <v>33</v>
      </c>
      <c r="D9" s="18" t="s">
        <v>29</v>
      </c>
      <c r="E9" s="38"/>
      <c r="F9" s="39">
        <v>7</v>
      </c>
      <c r="G9" s="40"/>
      <c r="H9" s="40">
        <f>E9*F9</f>
        <v>0</v>
      </c>
      <c r="I9" s="41"/>
      <c r="J9" s="42"/>
      <c r="K9" s="43"/>
      <c r="L9" s="35"/>
      <c r="N9" s="9"/>
    </row>
    <row r="10" spans="1:14" x14ac:dyDescent="0.2">
      <c r="A10" s="36"/>
      <c r="B10" s="377" t="s">
        <v>34</v>
      </c>
      <c r="C10" s="414" t="s">
        <v>35</v>
      </c>
      <c r="D10" s="18" t="s">
        <v>36</v>
      </c>
      <c r="E10" s="38"/>
      <c r="F10" s="44">
        <f>0.75*F9*0.03</f>
        <v>0.1575</v>
      </c>
      <c r="G10" s="40">
        <f>E10*F10</f>
        <v>0</v>
      </c>
      <c r="H10" s="40"/>
      <c r="I10" s="41"/>
      <c r="J10" s="42"/>
      <c r="K10" s="43"/>
      <c r="L10" s="35"/>
      <c r="N10" s="9"/>
    </row>
    <row r="11" spans="1:14" ht="25.5" x14ac:dyDescent="0.2">
      <c r="A11" s="36"/>
      <c r="B11" s="377">
        <v>112201112</v>
      </c>
      <c r="C11" s="414" t="s">
        <v>37</v>
      </c>
      <c r="D11" s="18" t="s">
        <v>31</v>
      </c>
      <c r="E11" s="38"/>
      <c r="F11" s="45">
        <f>F7</f>
        <v>6</v>
      </c>
      <c r="G11" s="40"/>
      <c r="H11" s="40">
        <f>E11*F11</f>
        <v>0</v>
      </c>
      <c r="I11" s="41"/>
      <c r="J11" s="42">
        <f>I11*F11</f>
        <v>0</v>
      </c>
      <c r="K11" s="43"/>
      <c r="L11" s="35"/>
      <c r="N11" s="9"/>
    </row>
    <row r="12" spans="1:14" x14ac:dyDescent="0.2">
      <c r="A12" s="36"/>
      <c r="B12" s="377" t="s">
        <v>32</v>
      </c>
      <c r="C12" s="414" t="s">
        <v>38</v>
      </c>
      <c r="D12" s="18" t="s">
        <v>39</v>
      </c>
      <c r="E12" s="38"/>
      <c r="F12" s="44">
        <f>10.6*(((24.4*24.4)/4)*3.14)/10000*F11</f>
        <v>2.9723943359999998</v>
      </c>
      <c r="G12" s="40">
        <f>E12*F12</f>
        <v>0</v>
      </c>
      <c r="H12" s="40"/>
      <c r="I12" s="41">
        <v>0.85</v>
      </c>
      <c r="J12" s="42">
        <f>I12*F12</f>
        <v>2.5265351855999998</v>
      </c>
      <c r="K12" s="43"/>
      <c r="L12" s="35"/>
      <c r="N12" s="9"/>
    </row>
    <row r="13" spans="1:14" s="72" customFormat="1" ht="67.5" x14ac:dyDescent="0.2">
      <c r="A13" s="66"/>
      <c r="B13" s="67" t="s">
        <v>40</v>
      </c>
      <c r="C13" s="418" t="s">
        <v>41</v>
      </c>
      <c r="D13" s="67" t="s">
        <v>42</v>
      </c>
      <c r="E13" s="68" t="s">
        <v>43</v>
      </c>
      <c r="F13" s="67" t="s">
        <v>44</v>
      </c>
      <c r="G13" s="69" t="s">
        <v>45</v>
      </c>
      <c r="H13" s="69" t="s">
        <v>46</v>
      </c>
      <c r="I13" s="70" t="s">
        <v>47</v>
      </c>
      <c r="J13" s="70" t="s">
        <v>48</v>
      </c>
      <c r="K13" s="71" t="s">
        <v>49</v>
      </c>
      <c r="L13" s="46" t="s">
        <v>50</v>
      </c>
      <c r="N13" s="133"/>
    </row>
    <row r="14" spans="1:14" x14ac:dyDescent="0.2">
      <c r="A14" s="47"/>
      <c r="B14" s="378">
        <v>115</v>
      </c>
      <c r="C14" s="415" t="s">
        <v>51</v>
      </c>
      <c r="D14" s="48">
        <v>28</v>
      </c>
      <c r="E14" s="49">
        <f t="shared" ref="E14:E19" si="0">D14*3.14</f>
        <v>87.92</v>
      </c>
      <c r="F14" s="48" t="s">
        <v>52</v>
      </c>
      <c r="G14" s="50">
        <v>3</v>
      </c>
      <c r="H14" s="50">
        <v>2</v>
      </c>
      <c r="I14" s="50">
        <v>2</v>
      </c>
      <c r="J14" s="50">
        <v>1</v>
      </c>
      <c r="K14" s="51" t="s">
        <v>53</v>
      </c>
      <c r="L14" s="52">
        <v>4</v>
      </c>
      <c r="N14" s="9"/>
    </row>
    <row r="15" spans="1:14" x14ac:dyDescent="0.2">
      <c r="A15" s="47"/>
      <c r="B15" s="378">
        <v>116</v>
      </c>
      <c r="C15" s="415" t="s">
        <v>51</v>
      </c>
      <c r="D15" s="48">
        <v>21</v>
      </c>
      <c r="E15" s="49">
        <f t="shared" si="0"/>
        <v>65.94</v>
      </c>
      <c r="F15" s="48" t="s">
        <v>52</v>
      </c>
      <c r="G15" s="50">
        <v>3</v>
      </c>
      <c r="H15" s="50">
        <v>2</v>
      </c>
      <c r="I15" s="50">
        <v>2</v>
      </c>
      <c r="J15" s="50">
        <v>1</v>
      </c>
      <c r="K15" s="51" t="s">
        <v>53</v>
      </c>
      <c r="L15" s="52">
        <v>4</v>
      </c>
      <c r="N15" s="9"/>
    </row>
    <row r="16" spans="1:14" x14ac:dyDescent="0.2">
      <c r="A16" s="47"/>
      <c r="B16" s="378">
        <v>117</v>
      </c>
      <c r="C16" s="415" t="s">
        <v>51</v>
      </c>
      <c r="D16" s="48">
        <v>22</v>
      </c>
      <c r="E16" s="49">
        <f t="shared" si="0"/>
        <v>69.08</v>
      </c>
      <c r="F16" s="48" t="s">
        <v>52</v>
      </c>
      <c r="G16" s="50">
        <v>3</v>
      </c>
      <c r="H16" s="50">
        <v>2</v>
      </c>
      <c r="I16" s="50">
        <v>2</v>
      </c>
      <c r="J16" s="50">
        <v>1</v>
      </c>
      <c r="K16" s="51" t="s">
        <v>53</v>
      </c>
      <c r="L16" s="52">
        <v>4</v>
      </c>
      <c r="N16" s="9"/>
    </row>
    <row r="17" spans="1:14" x14ac:dyDescent="0.2">
      <c r="A17" s="47"/>
      <c r="B17" s="378">
        <v>118</v>
      </c>
      <c r="C17" s="415" t="s">
        <v>51</v>
      </c>
      <c r="D17" s="48">
        <v>22</v>
      </c>
      <c r="E17" s="49">
        <f t="shared" si="0"/>
        <v>69.08</v>
      </c>
      <c r="F17" s="48" t="s">
        <v>52</v>
      </c>
      <c r="G17" s="50">
        <v>3</v>
      </c>
      <c r="H17" s="50">
        <v>1</v>
      </c>
      <c r="I17" s="50">
        <v>2</v>
      </c>
      <c r="J17" s="50">
        <v>0</v>
      </c>
      <c r="K17" s="51" t="s">
        <v>53</v>
      </c>
      <c r="L17" s="52">
        <v>4</v>
      </c>
      <c r="N17" s="9"/>
    </row>
    <row r="18" spans="1:14" x14ac:dyDescent="0.2">
      <c r="A18" s="47"/>
      <c r="B18" s="378">
        <v>119</v>
      </c>
      <c r="C18" s="415" t="s">
        <v>51</v>
      </c>
      <c r="D18" s="48">
        <v>27</v>
      </c>
      <c r="E18" s="49">
        <f t="shared" si="0"/>
        <v>84.78</v>
      </c>
      <c r="F18" s="48" t="s">
        <v>52</v>
      </c>
      <c r="G18" s="50">
        <v>3</v>
      </c>
      <c r="H18" s="50">
        <v>2</v>
      </c>
      <c r="I18" s="50">
        <v>2</v>
      </c>
      <c r="J18" s="50">
        <v>1</v>
      </c>
      <c r="K18" s="51" t="s">
        <v>53</v>
      </c>
      <c r="L18" s="52">
        <v>4</v>
      </c>
      <c r="N18" s="9"/>
    </row>
    <row r="19" spans="1:14" s="9" customFormat="1" ht="12.75" x14ac:dyDescent="0.2">
      <c r="A19" s="47"/>
      <c r="B19" s="378">
        <v>121</v>
      </c>
      <c r="C19" s="415" t="s">
        <v>51</v>
      </c>
      <c r="D19" s="48">
        <v>22</v>
      </c>
      <c r="E19" s="49">
        <f t="shared" si="0"/>
        <v>69.08</v>
      </c>
      <c r="F19" s="48" t="s">
        <v>52</v>
      </c>
      <c r="G19" s="50">
        <v>3</v>
      </c>
      <c r="H19" s="50">
        <v>2</v>
      </c>
      <c r="I19" s="50">
        <v>2</v>
      </c>
      <c r="J19" s="50">
        <v>1</v>
      </c>
      <c r="K19" s="51" t="s">
        <v>54</v>
      </c>
      <c r="L19" s="52">
        <v>5</v>
      </c>
    </row>
    <row r="20" spans="1:14" s="9" customFormat="1" ht="12.75" x14ac:dyDescent="0.2">
      <c r="A20" s="47"/>
      <c r="B20" s="379"/>
      <c r="C20" s="416"/>
      <c r="D20" s="53"/>
      <c r="E20" s="54"/>
      <c r="F20" s="53"/>
      <c r="G20" s="55"/>
      <c r="H20" s="55"/>
      <c r="I20" s="55"/>
      <c r="J20" s="55"/>
      <c r="K20" s="56"/>
      <c r="L20" s="57"/>
    </row>
    <row r="21" spans="1:14" x14ac:dyDescent="0.2">
      <c r="A21" s="58"/>
      <c r="B21" s="377"/>
      <c r="C21" s="417"/>
      <c r="D21" s="59"/>
      <c r="E21" s="60"/>
      <c r="F21" s="59"/>
      <c r="G21" s="61"/>
      <c r="H21" s="62"/>
      <c r="I21" s="63"/>
      <c r="J21" s="64"/>
      <c r="K21" s="65"/>
      <c r="L21" s="8"/>
      <c r="N21" s="9"/>
    </row>
    <row r="22" spans="1:14" s="28" customFormat="1" ht="25.5" x14ac:dyDescent="0.2">
      <c r="A22" s="22"/>
      <c r="B22" s="375" t="s">
        <v>18</v>
      </c>
      <c r="C22" s="412" t="s">
        <v>19</v>
      </c>
      <c r="D22" s="23"/>
      <c r="E22" s="23" t="s">
        <v>20</v>
      </c>
      <c r="F22" s="24" t="s">
        <v>21</v>
      </c>
      <c r="G22" s="25" t="s">
        <v>22</v>
      </c>
      <c r="H22" s="25" t="s">
        <v>23</v>
      </c>
      <c r="I22" s="26" t="s">
        <v>24</v>
      </c>
      <c r="J22" s="26" t="s">
        <v>25</v>
      </c>
      <c r="K22" s="25" t="s">
        <v>26</v>
      </c>
      <c r="L22" s="27"/>
      <c r="N22" s="9"/>
    </row>
    <row r="23" spans="1:14" s="9" customFormat="1" ht="12.75" x14ac:dyDescent="0.2">
      <c r="A23" s="29">
        <v>5</v>
      </c>
      <c r="B23" s="376" t="s">
        <v>27</v>
      </c>
      <c r="C23" s="413" t="s">
        <v>55</v>
      </c>
      <c r="D23" s="30" t="s">
        <v>29</v>
      </c>
      <c r="E23" s="31">
        <f>I23/F23</f>
        <v>0</v>
      </c>
      <c r="F23" s="32">
        <f>COUNTA(C30:C31)</f>
        <v>2</v>
      </c>
      <c r="G23" s="33">
        <f>SUM(G24:G28)</f>
        <v>0</v>
      </c>
      <c r="H23" s="33">
        <f>SUM(H24:H28)</f>
        <v>0</v>
      </c>
      <c r="I23" s="33">
        <f>H23+G23</f>
        <v>0</v>
      </c>
      <c r="J23" s="33">
        <f>I23/100*21</f>
        <v>0</v>
      </c>
      <c r="K23" s="34">
        <f>J23+I23</f>
        <v>0</v>
      </c>
      <c r="L23" s="35"/>
    </row>
    <row r="24" spans="1:14" s="9" customFormat="1" ht="12.75" x14ac:dyDescent="0.2">
      <c r="A24" s="36"/>
      <c r="B24" s="377">
        <v>112151313</v>
      </c>
      <c r="C24" s="414" t="s">
        <v>56</v>
      </c>
      <c r="D24" s="18" t="s">
        <v>31</v>
      </c>
      <c r="E24" s="38"/>
      <c r="F24" s="39">
        <f>F23</f>
        <v>2</v>
      </c>
      <c r="G24" s="40"/>
      <c r="H24" s="40">
        <f>E24*F24</f>
        <v>0</v>
      </c>
      <c r="I24" s="41"/>
      <c r="J24" s="42"/>
      <c r="K24" s="43"/>
      <c r="L24" s="35"/>
    </row>
    <row r="25" spans="1:14" s="9" customFormat="1" ht="12.75" x14ac:dyDescent="0.2">
      <c r="A25" s="36"/>
      <c r="B25" s="377" t="s">
        <v>32</v>
      </c>
      <c r="C25" s="414" t="s">
        <v>35</v>
      </c>
      <c r="D25" s="18" t="s">
        <v>29</v>
      </c>
      <c r="E25" s="38"/>
      <c r="F25" s="39">
        <f>F23</f>
        <v>2</v>
      </c>
      <c r="G25" s="40"/>
      <c r="H25" s="40">
        <f>E25*F25</f>
        <v>0</v>
      </c>
      <c r="I25" s="41"/>
      <c r="J25" s="42"/>
      <c r="K25" s="43"/>
      <c r="L25" s="35"/>
    </row>
    <row r="26" spans="1:14" s="9" customFormat="1" ht="12.75" x14ac:dyDescent="0.2">
      <c r="A26" s="36"/>
      <c r="B26" s="377" t="s">
        <v>34</v>
      </c>
      <c r="C26" s="414" t="s">
        <v>57</v>
      </c>
      <c r="D26" s="18" t="s">
        <v>36</v>
      </c>
      <c r="E26" s="38"/>
      <c r="F26" s="44">
        <f>0.75*F25*0.03</f>
        <v>4.4999999999999998E-2</v>
      </c>
      <c r="G26" s="40">
        <f>E26*F26</f>
        <v>0</v>
      </c>
      <c r="H26" s="40"/>
      <c r="I26" s="41"/>
      <c r="J26" s="42"/>
      <c r="K26" s="43"/>
      <c r="L26" s="35"/>
    </row>
    <row r="27" spans="1:14" s="9" customFormat="1" ht="25.5" x14ac:dyDescent="0.2">
      <c r="A27" s="36"/>
      <c r="B27" s="377">
        <v>112201113</v>
      </c>
      <c r="C27" s="414" t="s">
        <v>58</v>
      </c>
      <c r="D27" s="18" t="s">
        <v>31</v>
      </c>
      <c r="E27" s="38"/>
      <c r="F27" s="45">
        <f>F23</f>
        <v>2</v>
      </c>
      <c r="G27" s="40"/>
      <c r="H27" s="40">
        <f>E27*F27</f>
        <v>0</v>
      </c>
      <c r="I27" s="41"/>
      <c r="J27" s="42"/>
      <c r="K27" s="43"/>
      <c r="L27" s="35"/>
    </row>
    <row r="28" spans="1:14" x14ac:dyDescent="0.2">
      <c r="A28" s="36"/>
      <c r="B28" s="377" t="s">
        <v>32</v>
      </c>
      <c r="C28" s="414" t="s">
        <v>38</v>
      </c>
      <c r="D28" s="18" t="s">
        <v>39</v>
      </c>
      <c r="E28" s="38"/>
      <c r="F28" s="44">
        <f>11*(((33*33)/4)*3.14)/10000*F27</f>
        <v>1.8807029999999998</v>
      </c>
      <c r="G28" s="40">
        <f>E28*F28</f>
        <v>0</v>
      </c>
      <c r="H28" s="40"/>
      <c r="I28" s="41">
        <v>0.85</v>
      </c>
      <c r="J28" s="42">
        <f>I28*F28</f>
        <v>1.5985975499999998</v>
      </c>
      <c r="K28" s="43"/>
      <c r="L28" s="35"/>
      <c r="N28" s="9"/>
    </row>
    <row r="29" spans="1:14" s="72" customFormat="1" ht="67.5" x14ac:dyDescent="0.2">
      <c r="A29" s="66"/>
      <c r="B29" s="67" t="s">
        <v>40</v>
      </c>
      <c r="C29" s="418" t="s">
        <v>41</v>
      </c>
      <c r="D29" s="67" t="s">
        <v>42</v>
      </c>
      <c r="E29" s="68" t="s">
        <v>43</v>
      </c>
      <c r="F29" s="67" t="s">
        <v>44</v>
      </c>
      <c r="G29" s="69" t="s">
        <v>45</v>
      </c>
      <c r="H29" s="69" t="s">
        <v>46</v>
      </c>
      <c r="I29" s="70" t="s">
        <v>47</v>
      </c>
      <c r="J29" s="70" t="s">
        <v>48</v>
      </c>
      <c r="K29" s="71" t="s">
        <v>49</v>
      </c>
      <c r="L29" s="46" t="s">
        <v>50</v>
      </c>
      <c r="N29" s="9"/>
    </row>
    <row r="30" spans="1:14" x14ac:dyDescent="0.2">
      <c r="A30" s="47"/>
      <c r="B30" s="378">
        <v>112</v>
      </c>
      <c r="C30" s="415" t="s">
        <v>51</v>
      </c>
      <c r="D30" s="73">
        <v>38</v>
      </c>
      <c r="E30" s="74">
        <f>D30*3.14</f>
        <v>119.32000000000001</v>
      </c>
      <c r="F30" s="73" t="s">
        <v>52</v>
      </c>
      <c r="G30" s="75">
        <v>2</v>
      </c>
      <c r="H30" s="75">
        <v>2</v>
      </c>
      <c r="I30" s="75">
        <v>3</v>
      </c>
      <c r="J30" s="75">
        <v>1</v>
      </c>
      <c r="K30" s="76" t="s">
        <v>53</v>
      </c>
      <c r="L30" s="77">
        <v>4</v>
      </c>
      <c r="N30" s="9"/>
    </row>
    <row r="31" spans="1:14" s="9" customFormat="1" ht="12.75" x14ac:dyDescent="0.2">
      <c r="A31" s="47"/>
      <c r="B31" s="378">
        <v>113</v>
      </c>
      <c r="C31" s="415" t="s">
        <v>51</v>
      </c>
      <c r="D31" s="73">
        <v>38</v>
      </c>
      <c r="E31" s="74">
        <f>D31*3.14</f>
        <v>119.32000000000001</v>
      </c>
      <c r="F31" s="73" t="s">
        <v>52</v>
      </c>
      <c r="G31" s="75">
        <v>2</v>
      </c>
      <c r="H31" s="75">
        <v>1</v>
      </c>
      <c r="I31" s="75">
        <v>1</v>
      </c>
      <c r="J31" s="75">
        <v>0</v>
      </c>
      <c r="K31" s="76" t="s">
        <v>59</v>
      </c>
      <c r="L31" s="77">
        <v>3</v>
      </c>
    </row>
    <row r="32" spans="1:14" s="78" customFormat="1" ht="12.75" x14ac:dyDescent="0.2">
      <c r="A32" s="47"/>
      <c r="B32" s="379"/>
      <c r="C32" s="416"/>
      <c r="D32" s="53"/>
      <c r="E32" s="54"/>
      <c r="F32" s="53"/>
      <c r="G32" s="55"/>
      <c r="H32" s="55"/>
      <c r="I32" s="55"/>
      <c r="J32" s="55"/>
      <c r="K32" s="56"/>
      <c r="L32" s="57"/>
      <c r="N32" s="9"/>
    </row>
    <row r="33" spans="1:18" x14ac:dyDescent="0.2">
      <c r="A33" s="58"/>
      <c r="B33" s="377"/>
      <c r="C33" s="417"/>
      <c r="D33" s="59"/>
      <c r="E33" s="60"/>
      <c r="F33" s="59"/>
      <c r="G33" s="61"/>
      <c r="H33" s="62"/>
      <c r="I33" s="63"/>
      <c r="J33" s="64"/>
      <c r="K33" s="65"/>
      <c r="L33" s="8"/>
      <c r="N33" s="9"/>
    </row>
    <row r="34" spans="1:18" s="28" customFormat="1" ht="25.5" x14ac:dyDescent="0.2">
      <c r="A34" s="22"/>
      <c r="B34" s="375" t="s">
        <v>18</v>
      </c>
      <c r="C34" s="412" t="s">
        <v>19</v>
      </c>
      <c r="D34" s="23"/>
      <c r="E34" s="23" t="s">
        <v>20</v>
      </c>
      <c r="F34" s="24" t="s">
        <v>21</v>
      </c>
      <c r="G34" s="25" t="s">
        <v>22</v>
      </c>
      <c r="H34" s="25" t="s">
        <v>23</v>
      </c>
      <c r="I34" s="26" t="s">
        <v>24</v>
      </c>
      <c r="J34" s="26" t="s">
        <v>25</v>
      </c>
      <c r="K34" s="25" t="s">
        <v>26</v>
      </c>
      <c r="L34" s="27"/>
      <c r="N34" s="9"/>
    </row>
    <row r="35" spans="1:18" x14ac:dyDescent="0.2">
      <c r="A35" s="29">
        <v>7</v>
      </c>
      <c r="B35" s="376" t="s">
        <v>27</v>
      </c>
      <c r="C35" s="413" t="s">
        <v>60</v>
      </c>
      <c r="D35" s="30" t="s">
        <v>29</v>
      </c>
      <c r="E35" s="31">
        <f>I35/F35</f>
        <v>0</v>
      </c>
      <c r="F35" s="32">
        <f>COUNTA(C42:C43)</f>
        <v>2</v>
      </c>
      <c r="G35" s="33">
        <f>SUM(G36:G40)</f>
        <v>0</v>
      </c>
      <c r="H35" s="33">
        <f>SUM(H36:H40)</f>
        <v>0</v>
      </c>
      <c r="I35" s="33">
        <f>H35+G35</f>
        <v>0</v>
      </c>
      <c r="J35" s="33">
        <f>I35/100*21</f>
        <v>0</v>
      </c>
      <c r="K35" s="34">
        <f>J35+I35</f>
        <v>0</v>
      </c>
      <c r="L35" s="35"/>
      <c r="N35" s="9"/>
    </row>
    <row r="36" spans="1:18" x14ac:dyDescent="0.2">
      <c r="A36" s="36"/>
      <c r="B36" s="377">
        <v>112151315</v>
      </c>
      <c r="C36" s="414" t="s">
        <v>61</v>
      </c>
      <c r="D36" s="18" t="s">
        <v>31</v>
      </c>
      <c r="E36" s="38"/>
      <c r="F36" s="39">
        <f>F35</f>
        <v>2</v>
      </c>
      <c r="G36" s="40"/>
      <c r="H36" s="40">
        <f>E36*F36</f>
        <v>0</v>
      </c>
      <c r="I36" s="41"/>
      <c r="J36" s="42"/>
      <c r="K36" s="43"/>
      <c r="L36" s="35"/>
      <c r="N36" s="9"/>
    </row>
    <row r="37" spans="1:18" x14ac:dyDescent="0.2">
      <c r="A37" s="36"/>
      <c r="B37" s="377" t="s">
        <v>32</v>
      </c>
      <c r="C37" s="414" t="s">
        <v>35</v>
      </c>
      <c r="D37" s="18" t="s">
        <v>29</v>
      </c>
      <c r="E37" s="38"/>
      <c r="F37" s="39">
        <f>F35</f>
        <v>2</v>
      </c>
      <c r="G37" s="40"/>
      <c r="H37" s="40">
        <f>E37*F37</f>
        <v>0</v>
      </c>
      <c r="I37" s="41"/>
      <c r="J37" s="42"/>
      <c r="K37" s="43"/>
      <c r="L37" s="35"/>
      <c r="N37" s="9"/>
    </row>
    <row r="38" spans="1:18" x14ac:dyDescent="0.2">
      <c r="A38" s="36"/>
      <c r="B38" s="377" t="s">
        <v>34</v>
      </c>
      <c r="C38" s="414" t="s">
        <v>57</v>
      </c>
      <c r="D38" s="18" t="s">
        <v>36</v>
      </c>
      <c r="E38" s="38"/>
      <c r="F38" s="44">
        <f>0.75*F37*0.03</f>
        <v>4.4999999999999998E-2</v>
      </c>
      <c r="G38" s="40">
        <f>E38*F38</f>
        <v>0</v>
      </c>
      <c r="H38" s="40"/>
      <c r="I38" s="41"/>
      <c r="J38" s="42"/>
      <c r="K38" s="43"/>
      <c r="L38" s="35"/>
      <c r="N38" s="9"/>
    </row>
    <row r="39" spans="1:18" ht="25.5" x14ac:dyDescent="0.2">
      <c r="A39" s="36"/>
      <c r="B39" s="377">
        <v>112201115</v>
      </c>
      <c r="C39" s="414" t="s">
        <v>62</v>
      </c>
      <c r="D39" s="18" t="s">
        <v>31</v>
      </c>
      <c r="E39" s="38"/>
      <c r="F39" s="45">
        <f>F35</f>
        <v>2</v>
      </c>
      <c r="G39" s="40"/>
      <c r="H39" s="40">
        <f>E39*F39</f>
        <v>0</v>
      </c>
      <c r="I39" s="41"/>
      <c r="J39" s="42"/>
      <c r="K39" s="43"/>
      <c r="L39" s="35"/>
      <c r="N39" s="9"/>
    </row>
    <row r="40" spans="1:18" x14ac:dyDescent="0.2">
      <c r="A40" s="36"/>
      <c r="B40" s="377" t="s">
        <v>32</v>
      </c>
      <c r="C40" s="414" t="s">
        <v>38</v>
      </c>
      <c r="D40" s="18" t="s">
        <v>39</v>
      </c>
      <c r="E40" s="38"/>
      <c r="F40" s="79">
        <f>14*(((45*45)/4)*3.14)/10000*F39</f>
        <v>4.4509499999999997</v>
      </c>
      <c r="G40" s="40">
        <f>E40*F40</f>
        <v>0</v>
      </c>
      <c r="H40" s="40"/>
      <c r="I40" s="41">
        <v>0.85</v>
      </c>
      <c r="J40" s="42">
        <f>I40*F40</f>
        <v>3.7833074999999998</v>
      </c>
      <c r="K40" s="43"/>
      <c r="L40" s="35"/>
      <c r="N40" s="9"/>
    </row>
    <row r="41" spans="1:18" s="80" customFormat="1" ht="67.5" x14ac:dyDescent="0.2">
      <c r="A41" s="66"/>
      <c r="B41" s="67" t="s">
        <v>40</v>
      </c>
      <c r="C41" s="418" t="s">
        <v>41</v>
      </c>
      <c r="D41" s="67" t="s">
        <v>42</v>
      </c>
      <c r="E41" s="68" t="s">
        <v>43</v>
      </c>
      <c r="F41" s="67" t="s">
        <v>44</v>
      </c>
      <c r="G41" s="69" t="s">
        <v>45</v>
      </c>
      <c r="H41" s="69" t="s">
        <v>46</v>
      </c>
      <c r="I41" s="70" t="s">
        <v>47</v>
      </c>
      <c r="J41" s="70" t="s">
        <v>48</v>
      </c>
      <c r="K41" s="71" t="s">
        <v>49</v>
      </c>
      <c r="L41" s="46" t="s">
        <v>50</v>
      </c>
      <c r="N41" s="9"/>
    </row>
    <row r="42" spans="1:18" s="9" customFormat="1" ht="12.75" x14ac:dyDescent="0.2">
      <c r="A42" s="47"/>
      <c r="B42" s="378">
        <v>122</v>
      </c>
      <c r="C42" s="415" t="s">
        <v>51</v>
      </c>
      <c r="D42" s="81">
        <v>46</v>
      </c>
      <c r="E42" s="49">
        <f>D42*3.14</f>
        <v>144.44</v>
      </c>
      <c r="F42" s="73" t="s">
        <v>52</v>
      </c>
      <c r="G42" s="75">
        <v>4</v>
      </c>
      <c r="H42" s="75">
        <v>2</v>
      </c>
      <c r="I42" s="75">
        <v>3</v>
      </c>
      <c r="J42" s="75">
        <v>1</v>
      </c>
      <c r="K42" s="76" t="s">
        <v>54</v>
      </c>
      <c r="L42" s="77">
        <v>5</v>
      </c>
      <c r="M42" s="82"/>
      <c r="O42" s="82"/>
      <c r="P42" s="82"/>
      <c r="Q42" s="82"/>
      <c r="R42" s="82"/>
    </row>
    <row r="43" spans="1:18" s="9" customFormat="1" ht="12.75" x14ac:dyDescent="0.2">
      <c r="A43" s="47"/>
      <c r="B43" s="378">
        <v>111</v>
      </c>
      <c r="C43" s="415" t="s">
        <v>51</v>
      </c>
      <c r="D43" s="73">
        <v>44</v>
      </c>
      <c r="E43" s="74">
        <f>D43*3.14</f>
        <v>138.16</v>
      </c>
      <c r="F43" s="73" t="s">
        <v>52</v>
      </c>
      <c r="G43" s="75">
        <v>2</v>
      </c>
      <c r="H43" s="75">
        <v>2</v>
      </c>
      <c r="I43" s="75">
        <v>1</v>
      </c>
      <c r="J43" s="75">
        <v>1</v>
      </c>
      <c r="K43" s="76" t="s">
        <v>59</v>
      </c>
      <c r="L43" s="77">
        <v>3</v>
      </c>
      <c r="M43" s="82"/>
      <c r="O43" s="82"/>
      <c r="P43" s="82"/>
      <c r="Q43" s="82"/>
      <c r="R43" s="82"/>
    </row>
    <row r="44" spans="1:18" s="9" customFormat="1" ht="12.75" x14ac:dyDescent="0.2">
      <c r="A44" s="47"/>
      <c r="B44" s="379"/>
      <c r="C44" s="416"/>
      <c r="D44" s="53"/>
      <c r="E44" s="54"/>
      <c r="F44" s="53"/>
      <c r="G44" s="55"/>
      <c r="H44" s="55"/>
      <c r="I44" s="55"/>
      <c r="J44" s="55"/>
      <c r="K44" s="56"/>
      <c r="L44" s="57"/>
      <c r="M44" s="82"/>
      <c r="O44" s="82"/>
      <c r="P44" s="82"/>
      <c r="Q44" s="82"/>
      <c r="R44" s="82"/>
    </row>
    <row r="45" spans="1:18" x14ac:dyDescent="0.2">
      <c r="A45" s="58"/>
      <c r="B45" s="377"/>
      <c r="C45" s="417"/>
      <c r="D45" s="59"/>
      <c r="E45" s="60"/>
      <c r="F45" s="59"/>
      <c r="G45" s="61"/>
      <c r="H45" s="62"/>
      <c r="I45" s="63"/>
      <c r="J45" s="64"/>
      <c r="K45" s="65"/>
      <c r="L45" s="8"/>
      <c r="N45" s="9"/>
    </row>
    <row r="46" spans="1:18" s="28" customFormat="1" ht="25.5" x14ac:dyDescent="0.2">
      <c r="A46" s="22"/>
      <c r="B46" s="375" t="s">
        <v>18</v>
      </c>
      <c r="C46" s="412" t="s">
        <v>19</v>
      </c>
      <c r="D46" s="23"/>
      <c r="E46" s="23" t="s">
        <v>20</v>
      </c>
      <c r="F46" s="24" t="s">
        <v>21</v>
      </c>
      <c r="G46" s="25" t="s">
        <v>22</v>
      </c>
      <c r="H46" s="25" t="s">
        <v>23</v>
      </c>
      <c r="I46" s="26" t="s">
        <v>24</v>
      </c>
      <c r="J46" s="26" t="s">
        <v>25</v>
      </c>
      <c r="K46" s="25" t="s">
        <v>26</v>
      </c>
      <c r="L46" s="27"/>
      <c r="N46" s="9"/>
    </row>
    <row r="47" spans="1:18" x14ac:dyDescent="0.2">
      <c r="A47" s="29">
        <v>11</v>
      </c>
      <c r="B47" s="376" t="s">
        <v>63</v>
      </c>
      <c r="C47" s="413" t="s">
        <v>64</v>
      </c>
      <c r="D47" s="30" t="s">
        <v>29</v>
      </c>
      <c r="E47" s="31">
        <f>I47/F47</f>
        <v>0</v>
      </c>
      <c r="F47" s="32">
        <f>D56</f>
        <v>36</v>
      </c>
      <c r="G47" s="33">
        <f>SUM(G48:G49)</f>
        <v>0</v>
      </c>
      <c r="H47" s="33">
        <f>SUM(H48:H49)</f>
        <v>0</v>
      </c>
      <c r="I47" s="33">
        <f>H47+G47</f>
        <v>0</v>
      </c>
      <c r="J47" s="33">
        <f>I47/100*21</f>
        <v>0</v>
      </c>
      <c r="K47" s="34">
        <f>J47+I47</f>
        <v>0</v>
      </c>
      <c r="L47" s="20"/>
      <c r="N47" s="9"/>
    </row>
    <row r="48" spans="1:18" ht="25.5" x14ac:dyDescent="0.2">
      <c r="A48" s="36"/>
      <c r="B48" s="377">
        <v>111212351</v>
      </c>
      <c r="C48" s="414" t="s">
        <v>65</v>
      </c>
      <c r="D48" s="18" t="s">
        <v>66</v>
      </c>
      <c r="E48" s="38"/>
      <c r="F48" s="39">
        <f>D56*3</f>
        <v>108</v>
      </c>
      <c r="G48" s="40"/>
      <c r="H48" s="40">
        <f>E48*F48</f>
        <v>0</v>
      </c>
      <c r="I48" s="41"/>
      <c r="J48" s="83"/>
      <c r="K48" s="84"/>
      <c r="L48" s="20"/>
      <c r="N48" s="9"/>
    </row>
    <row r="49" spans="1:18" s="9" customFormat="1" ht="12.75" x14ac:dyDescent="0.2">
      <c r="A49" s="36"/>
      <c r="B49" s="377" t="s">
        <v>32</v>
      </c>
      <c r="C49" s="414" t="s">
        <v>38</v>
      </c>
      <c r="D49" s="18" t="s">
        <v>39</v>
      </c>
      <c r="E49" s="38"/>
      <c r="F49" s="44">
        <f>H56</f>
        <v>3.5874999999999999</v>
      </c>
      <c r="G49" s="40">
        <f>E49*F49</f>
        <v>0</v>
      </c>
      <c r="H49" s="40"/>
      <c r="I49" s="41">
        <v>0.75</v>
      </c>
      <c r="J49" s="41"/>
      <c r="K49" s="84"/>
      <c r="L49" s="20"/>
    </row>
    <row r="50" spans="1:18" s="80" customFormat="1" ht="22.5" x14ac:dyDescent="0.2">
      <c r="A50" s="66"/>
      <c r="B50" s="86" t="s">
        <v>40</v>
      </c>
      <c r="C50" s="419" t="s">
        <v>67</v>
      </c>
      <c r="D50" s="86" t="s">
        <v>29</v>
      </c>
      <c r="E50" s="85" t="s">
        <v>68</v>
      </c>
      <c r="F50" s="86" t="s">
        <v>69</v>
      </c>
      <c r="G50" s="87" t="s">
        <v>70</v>
      </c>
      <c r="H50" s="88" t="s">
        <v>71</v>
      </c>
      <c r="I50" s="89"/>
      <c r="J50" s="41"/>
      <c r="K50" s="84"/>
      <c r="L50" s="72"/>
      <c r="N50" s="9"/>
    </row>
    <row r="51" spans="1:18" s="82" customFormat="1" ht="12.75" x14ac:dyDescent="0.2">
      <c r="A51" s="36"/>
      <c r="B51" s="377">
        <v>57</v>
      </c>
      <c r="C51" s="414" t="s">
        <v>72</v>
      </c>
      <c r="D51" s="18">
        <v>23</v>
      </c>
      <c r="E51" s="90">
        <v>1.5</v>
      </c>
      <c r="F51" s="39">
        <v>3</v>
      </c>
      <c r="G51" s="91">
        <v>0.7</v>
      </c>
      <c r="H51" s="92">
        <f>(G51*E51*D51)/6</f>
        <v>4.0249999999999995</v>
      </c>
      <c r="I51" s="92"/>
      <c r="J51" s="92"/>
      <c r="K51" s="84"/>
      <c r="L51" s="20"/>
      <c r="N51" s="9"/>
    </row>
    <row r="52" spans="1:18" s="82" customFormat="1" ht="12.75" x14ac:dyDescent="0.2">
      <c r="A52" s="36"/>
      <c r="B52" s="377">
        <v>32</v>
      </c>
      <c r="C52" s="414" t="s">
        <v>73</v>
      </c>
      <c r="D52" s="18">
        <v>1</v>
      </c>
      <c r="E52" s="90">
        <v>3.5</v>
      </c>
      <c r="F52" s="39">
        <v>2</v>
      </c>
      <c r="G52" s="91">
        <v>0.4</v>
      </c>
      <c r="H52" s="92">
        <f>(G52*E52*D52)/7</f>
        <v>0.2</v>
      </c>
      <c r="I52" s="92"/>
      <c r="J52" s="92"/>
      <c r="K52" s="84"/>
      <c r="L52" s="20"/>
      <c r="N52" s="9"/>
    </row>
    <row r="53" spans="1:18" s="82" customFormat="1" ht="12.75" x14ac:dyDescent="0.2">
      <c r="A53" s="36"/>
      <c r="B53" s="377">
        <v>53</v>
      </c>
      <c r="C53" s="414" t="s">
        <v>73</v>
      </c>
      <c r="D53" s="18">
        <v>6</v>
      </c>
      <c r="E53" s="90">
        <v>3.5</v>
      </c>
      <c r="F53" s="39">
        <v>2</v>
      </c>
      <c r="G53" s="91">
        <v>0.4</v>
      </c>
      <c r="H53" s="92">
        <f>(G53*E53*D53)/7</f>
        <v>1.2</v>
      </c>
      <c r="I53" s="92"/>
      <c r="J53" s="92"/>
      <c r="K53" s="84"/>
      <c r="L53" s="20"/>
      <c r="N53" s="9"/>
    </row>
    <row r="54" spans="1:18" s="82" customFormat="1" ht="12.75" x14ac:dyDescent="0.2">
      <c r="A54" s="36"/>
      <c r="B54" s="377">
        <v>45</v>
      </c>
      <c r="C54" s="414" t="s">
        <v>74</v>
      </c>
      <c r="D54" s="18">
        <v>3</v>
      </c>
      <c r="E54" s="90">
        <v>2.5</v>
      </c>
      <c r="F54" s="39">
        <v>2</v>
      </c>
      <c r="G54" s="91">
        <v>0.7</v>
      </c>
      <c r="H54" s="92">
        <f>(G54*E54*D54)/6</f>
        <v>0.875</v>
      </c>
      <c r="I54" s="92"/>
      <c r="J54" s="92"/>
      <c r="K54" s="84"/>
      <c r="L54" s="20"/>
      <c r="N54" s="9"/>
    </row>
    <row r="55" spans="1:18" s="82" customFormat="1" ht="12.75" x14ac:dyDescent="0.2">
      <c r="A55" s="36"/>
      <c r="B55" s="377">
        <v>46</v>
      </c>
      <c r="C55" s="414" t="s">
        <v>74</v>
      </c>
      <c r="D55" s="18">
        <v>3</v>
      </c>
      <c r="E55" s="90">
        <v>2.5</v>
      </c>
      <c r="F55" s="39">
        <v>2</v>
      </c>
      <c r="G55" s="91">
        <v>0.7</v>
      </c>
      <c r="H55" s="92">
        <f>(G55*E55*D55)/6</f>
        <v>0.875</v>
      </c>
      <c r="I55" s="92"/>
      <c r="J55" s="92"/>
      <c r="K55" s="84"/>
      <c r="L55" s="20"/>
      <c r="N55" s="9"/>
    </row>
    <row r="56" spans="1:18" s="82" customFormat="1" ht="12.75" x14ac:dyDescent="0.2">
      <c r="A56" s="36"/>
      <c r="B56" s="377"/>
      <c r="C56" s="414" t="s">
        <v>75</v>
      </c>
      <c r="D56" s="18">
        <f>SUM(D51:D55)</f>
        <v>36</v>
      </c>
      <c r="E56" s="90"/>
      <c r="F56" s="44"/>
      <c r="G56" s="91"/>
      <c r="H56" s="92">
        <f>SUM(H51:H55)/2</f>
        <v>3.5874999999999999</v>
      </c>
      <c r="I56" s="92"/>
      <c r="J56" s="92"/>
      <c r="K56" s="84"/>
      <c r="L56" s="20"/>
      <c r="N56" s="9"/>
    </row>
    <row r="57" spans="1:18" s="82" customFormat="1" ht="12.75" x14ac:dyDescent="0.2">
      <c r="A57" s="36"/>
      <c r="B57" s="380"/>
      <c r="C57" s="410"/>
      <c r="D57" s="11"/>
      <c r="E57" s="93"/>
      <c r="F57" s="94"/>
      <c r="G57" s="95"/>
      <c r="H57" s="95"/>
      <c r="I57" s="95"/>
      <c r="J57" s="95"/>
      <c r="K57" s="96"/>
      <c r="L57" s="20"/>
      <c r="N57" s="9"/>
    </row>
    <row r="58" spans="1:18" x14ac:dyDescent="0.2">
      <c r="A58" s="58"/>
      <c r="B58" s="377"/>
      <c r="C58" s="417"/>
      <c r="D58" s="59"/>
      <c r="E58" s="60"/>
      <c r="F58" s="59"/>
      <c r="G58" s="61"/>
      <c r="H58" s="62"/>
      <c r="I58" s="63"/>
      <c r="J58" s="64"/>
      <c r="K58" s="65"/>
      <c r="L58" s="8"/>
      <c r="N58" s="9"/>
    </row>
    <row r="59" spans="1:18" s="28" customFormat="1" ht="25.5" x14ac:dyDescent="0.2">
      <c r="A59" s="22"/>
      <c r="B59" s="375" t="s">
        <v>18</v>
      </c>
      <c r="C59" s="412" t="s">
        <v>19</v>
      </c>
      <c r="D59" s="23"/>
      <c r="E59" s="23" t="s">
        <v>20</v>
      </c>
      <c r="F59" s="24" t="s">
        <v>21</v>
      </c>
      <c r="G59" s="25" t="s">
        <v>22</v>
      </c>
      <c r="H59" s="25" t="s">
        <v>23</v>
      </c>
      <c r="I59" s="26" t="s">
        <v>24</v>
      </c>
      <c r="J59" s="26" t="s">
        <v>25</v>
      </c>
      <c r="K59" s="25" t="s">
        <v>26</v>
      </c>
      <c r="L59" s="27"/>
      <c r="N59" s="9"/>
    </row>
    <row r="60" spans="1:18" s="9" customFormat="1" ht="12.75" x14ac:dyDescent="0.2">
      <c r="A60" s="29">
        <v>13</v>
      </c>
      <c r="B60" s="376" t="s">
        <v>76</v>
      </c>
      <c r="C60" s="413" t="s">
        <v>680</v>
      </c>
      <c r="D60" s="30" t="s">
        <v>29</v>
      </c>
      <c r="E60" s="31">
        <f>I60/F60</f>
        <v>0</v>
      </c>
      <c r="F60" s="32">
        <f>F66+F69</f>
        <v>108</v>
      </c>
      <c r="G60" s="33">
        <f>SUM(G61:G78)</f>
        <v>0</v>
      </c>
      <c r="H60" s="33">
        <f>SUM(H61:H78)</f>
        <v>0</v>
      </c>
      <c r="I60" s="33">
        <f>H60+G60</f>
        <v>0</v>
      </c>
      <c r="J60" s="33">
        <f>I60/100*21</f>
        <v>0</v>
      </c>
      <c r="K60" s="34">
        <f>J60+I60</f>
        <v>0</v>
      </c>
      <c r="L60" s="20"/>
    </row>
    <row r="61" spans="1:18" s="80" customFormat="1" ht="22.5" x14ac:dyDescent="0.2">
      <c r="A61" s="66"/>
      <c r="B61" s="98" t="s">
        <v>40</v>
      </c>
      <c r="C61" s="420" t="s">
        <v>67</v>
      </c>
      <c r="D61" s="98" t="s">
        <v>77</v>
      </c>
      <c r="E61" s="97" t="s">
        <v>68</v>
      </c>
      <c r="F61" s="98" t="s">
        <v>78</v>
      </c>
      <c r="G61" s="99"/>
      <c r="H61" s="99"/>
      <c r="I61" s="100"/>
      <c r="J61" s="92"/>
      <c r="K61" s="84"/>
      <c r="L61" s="72"/>
      <c r="N61" s="9"/>
    </row>
    <row r="62" spans="1:18" s="9" customFormat="1" ht="25.5" x14ac:dyDescent="0.2">
      <c r="A62" s="36"/>
      <c r="B62" s="377" t="s">
        <v>18</v>
      </c>
      <c r="C62" s="414" t="s">
        <v>79</v>
      </c>
      <c r="D62" s="18"/>
      <c r="E62" s="90"/>
      <c r="F62" s="44"/>
      <c r="G62" s="92"/>
      <c r="H62" s="92"/>
      <c r="I62" s="92"/>
      <c r="J62" s="92"/>
      <c r="K62" s="84"/>
      <c r="L62" s="20"/>
      <c r="M62" s="82"/>
      <c r="O62" s="82"/>
      <c r="P62" s="82"/>
      <c r="Q62" s="82"/>
      <c r="R62" s="82"/>
    </row>
    <row r="63" spans="1:18" s="9" customFormat="1" ht="12.75" x14ac:dyDescent="0.2">
      <c r="A63" s="36"/>
      <c r="B63" s="377" t="s">
        <v>18</v>
      </c>
      <c r="C63" s="414" t="s">
        <v>80</v>
      </c>
      <c r="D63" s="18"/>
      <c r="E63" s="90"/>
      <c r="F63" s="44"/>
      <c r="G63" s="92"/>
      <c r="H63" s="92"/>
      <c r="I63" s="92"/>
      <c r="J63" s="92"/>
      <c r="K63" s="84"/>
      <c r="L63" s="20"/>
    </row>
    <row r="64" spans="1:18" s="9" customFormat="1" ht="51" x14ac:dyDescent="0.2">
      <c r="A64" s="36"/>
      <c r="B64" s="381"/>
      <c r="C64" s="421" t="s">
        <v>81</v>
      </c>
      <c r="D64" s="36"/>
      <c r="E64" s="101"/>
      <c r="F64" s="102"/>
      <c r="G64" s="103"/>
      <c r="H64" s="103"/>
      <c r="I64" s="104"/>
      <c r="J64" s="103"/>
      <c r="K64" s="105"/>
      <c r="L64" s="20"/>
    </row>
    <row r="65" spans="1:14" s="9" customFormat="1" ht="12.75" x14ac:dyDescent="0.2">
      <c r="A65" s="36"/>
      <c r="B65" s="381"/>
      <c r="C65" s="421" t="s">
        <v>82</v>
      </c>
      <c r="D65" s="36"/>
      <c r="E65" s="106"/>
      <c r="F65" s="107">
        <v>2</v>
      </c>
      <c r="G65" s="103"/>
      <c r="H65" s="103"/>
      <c r="I65" s="104"/>
      <c r="J65" s="103"/>
      <c r="K65" s="105"/>
      <c r="L65" s="20"/>
    </row>
    <row r="66" spans="1:14" x14ac:dyDescent="0.2">
      <c r="A66" s="36"/>
      <c r="B66" s="377">
        <v>184806153</v>
      </c>
      <c r="C66" s="414" t="s">
        <v>83</v>
      </c>
      <c r="D66" s="18" t="s">
        <v>31</v>
      </c>
      <c r="E66" s="108"/>
      <c r="F66" s="107">
        <f>SUM(F65:F65)</f>
        <v>2</v>
      </c>
      <c r="G66" s="108"/>
      <c r="H66" s="108">
        <f>E66*F66</f>
        <v>0</v>
      </c>
      <c r="I66" s="109"/>
      <c r="J66" s="92"/>
      <c r="K66" s="84"/>
      <c r="L66" s="20"/>
      <c r="N66" s="9"/>
    </row>
    <row r="67" spans="1:14" x14ac:dyDescent="0.2">
      <c r="A67" s="36"/>
      <c r="B67" s="377" t="s">
        <v>32</v>
      </c>
      <c r="C67" s="414" t="s">
        <v>38</v>
      </c>
      <c r="D67" s="18" t="s">
        <v>39</v>
      </c>
      <c r="E67" s="108"/>
      <c r="F67" s="102">
        <f>F66*0.25</f>
        <v>0.5</v>
      </c>
      <c r="G67" s="108"/>
      <c r="H67" s="108">
        <f>E67*F67</f>
        <v>0</v>
      </c>
      <c r="I67" s="110"/>
      <c r="J67" s="92"/>
      <c r="K67" s="84"/>
      <c r="L67" s="20"/>
      <c r="N67" s="9"/>
    </row>
    <row r="68" spans="1:14" ht="38.25" x14ac:dyDescent="0.2">
      <c r="A68" s="36"/>
      <c r="B68" s="377" t="s">
        <v>18</v>
      </c>
      <c r="C68" s="414" t="s">
        <v>84</v>
      </c>
      <c r="D68" s="18"/>
      <c r="E68" s="108"/>
      <c r="F68" s="107">
        <v>106</v>
      </c>
      <c r="G68" s="108"/>
      <c r="H68" s="108"/>
      <c r="I68" s="110"/>
      <c r="J68" s="92"/>
      <c r="K68" s="84"/>
      <c r="L68" s="20"/>
      <c r="N68" s="9"/>
    </row>
    <row r="69" spans="1:14" s="9" customFormat="1" ht="12.75" x14ac:dyDescent="0.2">
      <c r="A69" s="36"/>
      <c r="B69" s="377">
        <v>184806152</v>
      </c>
      <c r="C69" s="414" t="s">
        <v>85</v>
      </c>
      <c r="D69" s="18" t="s">
        <v>31</v>
      </c>
      <c r="E69" s="108"/>
      <c r="F69" s="107">
        <f>F68</f>
        <v>106</v>
      </c>
      <c r="G69" s="108"/>
      <c r="H69" s="108">
        <f>E69*F69</f>
        <v>0</v>
      </c>
      <c r="I69" s="92"/>
      <c r="J69" s="92"/>
      <c r="K69" s="84"/>
      <c r="L69" s="20"/>
    </row>
    <row r="70" spans="1:14" s="9" customFormat="1" ht="12.75" x14ac:dyDescent="0.2">
      <c r="A70" s="36"/>
      <c r="B70" s="377" t="s">
        <v>32</v>
      </c>
      <c r="C70" s="414" t="s">
        <v>38</v>
      </c>
      <c r="D70" s="18" t="s">
        <v>39</v>
      </c>
      <c r="E70" s="108"/>
      <c r="F70" s="102">
        <f>F69*0.03</f>
        <v>3.1799999999999997</v>
      </c>
      <c r="G70" s="108">
        <f>F70*E70</f>
        <v>0</v>
      </c>
      <c r="H70" s="108"/>
      <c r="I70" s="92"/>
      <c r="J70" s="92"/>
      <c r="K70" s="84"/>
      <c r="L70" s="20"/>
    </row>
    <row r="71" spans="1:14" s="9" customFormat="1" ht="12.75" x14ac:dyDescent="0.2">
      <c r="A71" s="10"/>
      <c r="B71" s="382"/>
      <c r="C71" s="422" t="s">
        <v>86</v>
      </c>
      <c r="D71" s="112"/>
      <c r="E71" s="113"/>
      <c r="F71" s="114"/>
      <c r="G71" s="61"/>
      <c r="H71" s="61"/>
      <c r="I71" s="63"/>
      <c r="J71" s="64"/>
      <c r="K71" s="65"/>
      <c r="L71" s="57"/>
    </row>
    <row r="72" spans="1:14" x14ac:dyDescent="0.2">
      <c r="A72" s="36"/>
      <c r="B72" s="377" t="s">
        <v>18</v>
      </c>
      <c r="C72" s="414" t="s">
        <v>87</v>
      </c>
      <c r="D72" s="18" t="s">
        <v>39</v>
      </c>
      <c r="E72" s="115"/>
      <c r="F72" s="102">
        <f>F73</f>
        <v>16.2</v>
      </c>
      <c r="G72" s="108"/>
      <c r="H72" s="108"/>
      <c r="I72" s="92"/>
      <c r="J72" s="92"/>
      <c r="K72" s="84"/>
      <c r="L72" s="20"/>
      <c r="N72" s="9"/>
    </row>
    <row r="73" spans="1:14" x14ac:dyDescent="0.2">
      <c r="A73" s="36"/>
      <c r="B73" s="377">
        <v>185804311</v>
      </c>
      <c r="C73" s="414" t="s">
        <v>88</v>
      </c>
      <c r="D73" s="18" t="s">
        <v>39</v>
      </c>
      <c r="E73" s="108"/>
      <c r="F73" s="102">
        <f>F60*0.075*2</f>
        <v>16.2</v>
      </c>
      <c r="G73" s="108"/>
      <c r="H73" s="108">
        <f>E73*F73</f>
        <v>0</v>
      </c>
      <c r="I73" s="92"/>
      <c r="J73" s="92"/>
      <c r="K73" s="84"/>
      <c r="L73" s="20"/>
      <c r="N73" s="9"/>
    </row>
    <row r="74" spans="1:14" ht="25.5" x14ac:dyDescent="0.2">
      <c r="A74" s="36"/>
      <c r="B74" s="377">
        <v>185804213</v>
      </c>
      <c r="C74" s="414" t="s">
        <v>89</v>
      </c>
      <c r="D74" s="18" t="s">
        <v>66</v>
      </c>
      <c r="E74" s="115"/>
      <c r="F74" s="107">
        <f>F60*1</f>
        <v>108</v>
      </c>
      <c r="G74" s="108"/>
      <c r="H74" s="108">
        <f>E74*F74</f>
        <v>0</v>
      </c>
      <c r="I74" s="63"/>
      <c r="J74" s="64"/>
      <c r="K74" s="65"/>
      <c r="L74" s="116"/>
      <c r="N74" s="9"/>
    </row>
    <row r="75" spans="1:14" x14ac:dyDescent="0.2">
      <c r="A75" s="36"/>
      <c r="B75" s="377" t="s">
        <v>90</v>
      </c>
      <c r="C75" s="414" t="s">
        <v>91</v>
      </c>
      <c r="D75" s="18" t="s">
        <v>39</v>
      </c>
      <c r="E75" s="108"/>
      <c r="F75" s="44">
        <f>F74*0.001</f>
        <v>0.108</v>
      </c>
      <c r="G75" s="108"/>
      <c r="H75" s="108">
        <f>E75*F75</f>
        <v>0</v>
      </c>
      <c r="I75" s="63"/>
      <c r="J75" s="64"/>
      <c r="K75" s="65"/>
      <c r="L75" s="116"/>
      <c r="N75" s="9"/>
    </row>
    <row r="76" spans="1:14" ht="63.75" x14ac:dyDescent="0.2">
      <c r="A76" s="36"/>
      <c r="B76" s="377" t="s">
        <v>18</v>
      </c>
      <c r="C76" s="414" t="s">
        <v>92</v>
      </c>
      <c r="D76" s="18"/>
      <c r="E76" s="115"/>
      <c r="F76" s="44"/>
      <c r="G76" s="108"/>
      <c r="H76" s="108"/>
      <c r="I76" s="92"/>
      <c r="J76" s="92"/>
      <c r="K76" s="84"/>
      <c r="L76" s="116"/>
      <c r="N76" s="9"/>
    </row>
    <row r="77" spans="1:14" x14ac:dyDescent="0.2">
      <c r="A77" s="36"/>
      <c r="B77" s="377" t="s">
        <v>32</v>
      </c>
      <c r="C77" s="414" t="s">
        <v>93</v>
      </c>
      <c r="D77" s="18" t="s">
        <v>39</v>
      </c>
      <c r="E77" s="108"/>
      <c r="F77" s="44">
        <f>F60*0.02</f>
        <v>2.16</v>
      </c>
      <c r="G77" s="108">
        <f>F77*E77</f>
        <v>0</v>
      </c>
      <c r="H77" s="108"/>
      <c r="I77" s="92"/>
      <c r="J77" s="92"/>
      <c r="K77" s="84"/>
      <c r="L77" s="116"/>
      <c r="N77" s="9"/>
    </row>
    <row r="78" spans="1:14" x14ac:dyDescent="0.2">
      <c r="A78" s="58"/>
      <c r="B78" s="380">
        <v>998231411</v>
      </c>
      <c r="C78" s="410" t="s">
        <v>94</v>
      </c>
      <c r="D78" s="13" t="s">
        <v>16</v>
      </c>
      <c r="E78" s="117"/>
      <c r="F78" s="118">
        <f>J78</f>
        <v>0</v>
      </c>
      <c r="G78" s="119"/>
      <c r="H78" s="120">
        <f>F78*E78</f>
        <v>0</v>
      </c>
      <c r="I78" s="120" t="s">
        <v>6</v>
      </c>
      <c r="J78" s="121">
        <f>SUM(J64:J77)</f>
        <v>0</v>
      </c>
      <c r="K78" s="122"/>
      <c r="L78" s="116"/>
      <c r="N78" s="9"/>
    </row>
    <row r="79" spans="1:14" x14ac:dyDescent="0.2">
      <c r="A79" s="58"/>
      <c r="B79" s="377"/>
      <c r="C79" s="417"/>
      <c r="D79" s="59"/>
      <c r="E79" s="60"/>
      <c r="F79" s="59"/>
      <c r="G79" s="61"/>
      <c r="H79" s="62"/>
      <c r="I79" s="63"/>
      <c r="J79" s="64"/>
      <c r="K79" s="65"/>
      <c r="L79" s="8"/>
      <c r="N79" s="9"/>
    </row>
    <row r="80" spans="1:14" s="28" customFormat="1" ht="25.5" x14ac:dyDescent="0.2">
      <c r="A80" s="22"/>
      <c r="B80" s="375" t="s">
        <v>18</v>
      </c>
      <c r="C80" s="412" t="s">
        <v>19</v>
      </c>
      <c r="D80" s="23"/>
      <c r="E80" s="23" t="s">
        <v>20</v>
      </c>
      <c r="F80" s="24" t="s">
        <v>21</v>
      </c>
      <c r="G80" s="25" t="s">
        <v>22</v>
      </c>
      <c r="H80" s="25" t="s">
        <v>23</v>
      </c>
      <c r="I80" s="26" t="s">
        <v>24</v>
      </c>
      <c r="J80" s="26" t="s">
        <v>25</v>
      </c>
      <c r="K80" s="25" t="s">
        <v>26</v>
      </c>
      <c r="L80" s="27"/>
      <c r="N80" s="9"/>
    </row>
    <row r="81" spans="1:14" ht="25.5" x14ac:dyDescent="0.2">
      <c r="A81" s="29">
        <v>14</v>
      </c>
      <c r="B81" s="376" t="s">
        <v>95</v>
      </c>
      <c r="C81" s="413" t="s">
        <v>681</v>
      </c>
      <c r="D81" s="30" t="s">
        <v>29</v>
      </c>
      <c r="E81" s="31">
        <f>I81/F81</f>
        <v>0</v>
      </c>
      <c r="F81" s="32">
        <f>F85</f>
        <v>6</v>
      </c>
      <c r="G81" s="33">
        <f>SUM(G82:G113)</f>
        <v>0</v>
      </c>
      <c r="H81" s="33">
        <f>SUM(H82:H113)</f>
        <v>0</v>
      </c>
      <c r="I81" s="33">
        <f>H81+G81</f>
        <v>0</v>
      </c>
      <c r="J81" s="33">
        <f>I81/100*21</f>
        <v>0</v>
      </c>
      <c r="K81" s="34">
        <f>J81+I81</f>
        <v>0</v>
      </c>
      <c r="L81" s="116"/>
      <c r="N81" s="9"/>
    </row>
    <row r="82" spans="1:14" ht="89.25" x14ac:dyDescent="0.2">
      <c r="A82" s="36"/>
      <c r="B82" s="377" t="s">
        <v>18</v>
      </c>
      <c r="C82" s="421" t="s">
        <v>96</v>
      </c>
      <c r="D82" s="18"/>
      <c r="E82" s="90"/>
      <c r="F82" s="44"/>
      <c r="G82" s="92"/>
      <c r="H82" s="92"/>
      <c r="I82" s="91"/>
      <c r="J82" s="92"/>
      <c r="K82" s="123"/>
      <c r="L82" s="116"/>
      <c r="N82" s="9"/>
    </row>
    <row r="83" spans="1:14" x14ac:dyDescent="0.2">
      <c r="A83" s="36"/>
      <c r="B83" s="377"/>
      <c r="C83" s="414" t="s">
        <v>97</v>
      </c>
      <c r="D83" s="18"/>
      <c r="E83" s="90"/>
      <c r="F83" s="44"/>
      <c r="G83" s="92"/>
      <c r="H83" s="92"/>
      <c r="I83" s="91"/>
      <c r="J83" s="92"/>
      <c r="K83" s="123"/>
      <c r="L83" s="116"/>
      <c r="N83" s="9"/>
    </row>
    <row r="84" spans="1:14" s="27" customFormat="1" ht="22.5" x14ac:dyDescent="0.2">
      <c r="A84" s="124"/>
      <c r="B84" s="98" t="s">
        <v>40</v>
      </c>
      <c r="C84" s="420" t="s">
        <v>67</v>
      </c>
      <c r="D84" s="98" t="s">
        <v>29</v>
      </c>
      <c r="E84" s="125" t="s">
        <v>68</v>
      </c>
      <c r="F84" s="97" t="s">
        <v>69</v>
      </c>
      <c r="G84" s="126"/>
      <c r="H84" s="127"/>
      <c r="I84" s="128"/>
      <c r="J84" s="92"/>
      <c r="K84" s="129"/>
      <c r="L84" s="116"/>
      <c r="N84" s="9"/>
    </row>
    <row r="85" spans="1:14" x14ac:dyDescent="0.2">
      <c r="A85" s="10"/>
      <c r="B85" s="381">
        <v>55</v>
      </c>
      <c r="C85" s="421" t="s">
        <v>98</v>
      </c>
      <c r="D85" s="130">
        <v>6</v>
      </c>
      <c r="E85" s="60"/>
      <c r="F85" s="131">
        <v>6</v>
      </c>
      <c r="G85" s="61"/>
      <c r="H85" s="61">
        <f>E85*F85</f>
        <v>0</v>
      </c>
      <c r="I85" s="63">
        <v>0.08</v>
      </c>
      <c r="J85" s="92"/>
      <c r="K85" s="65"/>
      <c r="L85" s="20"/>
      <c r="N85" s="9"/>
    </row>
    <row r="86" spans="1:14" x14ac:dyDescent="0.2">
      <c r="A86" s="10"/>
      <c r="B86" s="382"/>
      <c r="C86" s="422" t="s">
        <v>99</v>
      </c>
      <c r="D86" s="112"/>
      <c r="E86" s="60"/>
      <c r="F86" s="132"/>
      <c r="G86" s="61"/>
      <c r="H86" s="61"/>
      <c r="I86" s="63"/>
      <c r="J86" s="92"/>
      <c r="K86" s="65"/>
      <c r="L86" s="20"/>
      <c r="N86" s="9"/>
    </row>
    <row r="87" spans="1:14" x14ac:dyDescent="0.2">
      <c r="A87" s="10"/>
      <c r="B87" s="382">
        <v>185804311</v>
      </c>
      <c r="C87" s="422" t="s">
        <v>100</v>
      </c>
      <c r="D87" s="112" t="s">
        <v>39</v>
      </c>
      <c r="E87" s="108"/>
      <c r="F87" s="132">
        <f>F85*0.2</f>
        <v>1.2000000000000002</v>
      </c>
      <c r="G87" s="61"/>
      <c r="H87" s="61">
        <f>E87*F87</f>
        <v>0</v>
      </c>
      <c r="I87" s="63"/>
      <c r="J87" s="92"/>
      <c r="K87" s="65"/>
      <c r="L87" s="20"/>
      <c r="N87" s="9"/>
    </row>
    <row r="88" spans="1:14" x14ac:dyDescent="0.2">
      <c r="A88" s="10"/>
      <c r="B88" s="382">
        <v>184502111</v>
      </c>
      <c r="C88" s="422" t="s">
        <v>101</v>
      </c>
      <c r="D88" s="112" t="s">
        <v>31</v>
      </c>
      <c r="E88" s="113"/>
      <c r="F88" s="131">
        <f>F85</f>
        <v>6</v>
      </c>
      <c r="G88" s="61"/>
      <c r="H88" s="61">
        <f>E88*F88</f>
        <v>0</v>
      </c>
      <c r="I88" s="63"/>
      <c r="J88" s="92"/>
      <c r="K88" s="65"/>
      <c r="L88" s="20"/>
      <c r="N88" s="9"/>
    </row>
    <row r="89" spans="1:14" x14ac:dyDescent="0.2">
      <c r="A89" s="10"/>
      <c r="B89" s="382" t="s">
        <v>34</v>
      </c>
      <c r="C89" s="422" t="s">
        <v>102</v>
      </c>
      <c r="D89" s="112" t="s">
        <v>29</v>
      </c>
      <c r="E89" s="113"/>
      <c r="F89" s="131">
        <f>F85</f>
        <v>6</v>
      </c>
      <c r="G89" s="61"/>
      <c r="H89" s="61">
        <f>E89*F89</f>
        <v>0</v>
      </c>
      <c r="I89" s="63"/>
      <c r="J89" s="92"/>
      <c r="K89" s="65"/>
      <c r="L89" s="20"/>
      <c r="N89" s="9"/>
    </row>
    <row r="90" spans="1:14" s="133" customFormat="1" ht="12.75" x14ac:dyDescent="0.2">
      <c r="A90" s="10"/>
      <c r="B90" s="382" t="s">
        <v>18</v>
      </c>
      <c r="C90" s="422" t="s">
        <v>103</v>
      </c>
      <c r="D90" s="112" t="s">
        <v>39</v>
      </c>
      <c r="E90" s="113"/>
      <c r="F90" s="132">
        <f>3.14*(0.2*0.2)</f>
        <v>0.12560000000000002</v>
      </c>
      <c r="G90" s="61"/>
      <c r="H90" s="61"/>
      <c r="I90" s="63"/>
      <c r="J90" s="92"/>
      <c r="K90" s="65"/>
      <c r="L90" s="20"/>
      <c r="N90" s="9"/>
    </row>
    <row r="91" spans="1:14" s="133" customFormat="1" ht="12.75" x14ac:dyDescent="0.2">
      <c r="A91" s="10"/>
      <c r="B91" s="382"/>
      <c r="C91" s="422" t="s">
        <v>104</v>
      </c>
      <c r="D91" s="112" t="s">
        <v>39</v>
      </c>
      <c r="E91" s="113"/>
      <c r="F91" s="132">
        <f>F90*3</f>
        <v>0.37680000000000002</v>
      </c>
      <c r="G91" s="61"/>
      <c r="H91" s="61"/>
      <c r="I91" s="63"/>
      <c r="J91" s="92"/>
      <c r="K91" s="65"/>
      <c r="L91" s="20"/>
      <c r="N91" s="9"/>
    </row>
    <row r="92" spans="1:14" s="133" customFormat="1" ht="12.75" x14ac:dyDescent="0.2">
      <c r="A92" s="10"/>
      <c r="B92" s="382" t="s">
        <v>32</v>
      </c>
      <c r="C92" s="422" t="s">
        <v>105</v>
      </c>
      <c r="D92" s="112" t="s">
        <v>29</v>
      </c>
      <c r="E92" s="113"/>
      <c r="F92" s="131">
        <f>F85</f>
        <v>6</v>
      </c>
      <c r="G92" s="61"/>
      <c r="H92" s="61">
        <f>E92*F92</f>
        <v>0</v>
      </c>
      <c r="I92" s="63"/>
      <c r="J92" s="92"/>
      <c r="K92" s="65"/>
      <c r="L92" s="20"/>
      <c r="N92" s="9"/>
    </row>
    <row r="93" spans="1:14" s="78" customFormat="1" ht="25.5" x14ac:dyDescent="0.2">
      <c r="A93" s="10"/>
      <c r="B93" s="382">
        <v>183101215</v>
      </c>
      <c r="C93" s="422" t="s">
        <v>106</v>
      </c>
      <c r="D93" s="112" t="s">
        <v>31</v>
      </c>
      <c r="E93" s="113"/>
      <c r="F93" s="131">
        <f>F85</f>
        <v>6</v>
      </c>
      <c r="G93" s="61"/>
      <c r="H93" s="61">
        <f>E93*F93</f>
        <v>0</v>
      </c>
      <c r="I93" s="63"/>
      <c r="J93" s="92"/>
      <c r="K93" s="65"/>
      <c r="L93" s="20"/>
      <c r="N93" s="9"/>
    </row>
    <row r="94" spans="1:14" s="78" customFormat="1" ht="12.75" x14ac:dyDescent="0.2">
      <c r="A94" s="10"/>
      <c r="B94" s="382" t="s">
        <v>34</v>
      </c>
      <c r="C94" s="422" t="s">
        <v>107</v>
      </c>
      <c r="D94" s="112" t="s">
        <v>39</v>
      </c>
      <c r="E94" s="113"/>
      <c r="F94" s="132">
        <f>((F91-F90)/2)*F85</f>
        <v>0.75359999999999994</v>
      </c>
      <c r="G94" s="61"/>
      <c r="H94" s="61"/>
      <c r="I94" s="63">
        <v>1</v>
      </c>
      <c r="J94" s="92">
        <f>I94*F94</f>
        <v>0.75359999999999994</v>
      </c>
      <c r="K94" s="65"/>
      <c r="L94" s="20"/>
      <c r="N94" s="9"/>
    </row>
    <row r="95" spans="1:14" s="78" customFormat="1" ht="51" x14ac:dyDescent="0.2">
      <c r="A95" s="10"/>
      <c r="B95" s="382" t="s">
        <v>34</v>
      </c>
      <c r="C95" s="422" t="s">
        <v>108</v>
      </c>
      <c r="D95" s="112" t="s">
        <v>39</v>
      </c>
      <c r="E95" s="113"/>
      <c r="F95" s="132">
        <f>F94*1.15</f>
        <v>0.86663999999999985</v>
      </c>
      <c r="G95" s="61">
        <f>E95*F95</f>
        <v>0</v>
      </c>
      <c r="H95" s="61"/>
      <c r="I95" s="63"/>
      <c r="J95" s="92"/>
      <c r="K95" s="65"/>
      <c r="L95" s="20"/>
      <c r="N95" s="9"/>
    </row>
    <row r="96" spans="1:14" s="78" customFormat="1" ht="12.75" x14ac:dyDescent="0.2">
      <c r="A96" s="10"/>
      <c r="B96" s="382">
        <v>184102113</v>
      </c>
      <c r="C96" s="422" t="s">
        <v>109</v>
      </c>
      <c r="D96" s="112" t="s">
        <v>31</v>
      </c>
      <c r="E96" s="113"/>
      <c r="F96" s="131">
        <f>F89</f>
        <v>6</v>
      </c>
      <c r="G96" s="61"/>
      <c r="H96" s="61">
        <f>E96*F96</f>
        <v>0</v>
      </c>
      <c r="I96" s="63"/>
      <c r="J96" s="92"/>
      <c r="K96" s="65"/>
      <c r="L96" s="20"/>
      <c r="N96" s="9"/>
    </row>
    <row r="97" spans="1:14" s="78" customFormat="1" ht="12.75" x14ac:dyDescent="0.2">
      <c r="A97" s="10"/>
      <c r="B97" s="382" t="s">
        <v>32</v>
      </c>
      <c r="C97" s="422" t="s">
        <v>110</v>
      </c>
      <c r="D97" s="112" t="s">
        <v>29</v>
      </c>
      <c r="E97" s="113"/>
      <c r="F97" s="132">
        <f>F85*6</f>
        <v>36</v>
      </c>
      <c r="G97" s="61"/>
      <c r="H97" s="61">
        <f>E97*F97</f>
        <v>0</v>
      </c>
      <c r="I97" s="63"/>
      <c r="J97" s="92"/>
      <c r="K97" s="65"/>
      <c r="L97" s="20"/>
      <c r="N97" s="9"/>
    </row>
    <row r="98" spans="1:14" s="78" customFormat="1" ht="12.75" x14ac:dyDescent="0.2">
      <c r="A98" s="10"/>
      <c r="B98" s="382" t="s">
        <v>34</v>
      </c>
      <c r="C98" s="422" t="s">
        <v>111</v>
      </c>
      <c r="D98" s="112" t="s">
        <v>29</v>
      </c>
      <c r="E98" s="113"/>
      <c r="F98" s="131">
        <f>F85</f>
        <v>6</v>
      </c>
      <c r="G98" s="61">
        <f>E98*F98</f>
        <v>0</v>
      </c>
      <c r="H98" s="61"/>
      <c r="I98" s="63"/>
      <c r="J98" s="92"/>
      <c r="K98" s="65"/>
      <c r="L98" s="20"/>
      <c r="N98" s="9"/>
    </row>
    <row r="99" spans="1:14" x14ac:dyDescent="0.2">
      <c r="A99" s="10"/>
      <c r="B99" s="382">
        <v>184215112</v>
      </c>
      <c r="C99" s="422" t="s">
        <v>112</v>
      </c>
      <c r="D99" s="112" t="s">
        <v>31</v>
      </c>
      <c r="E99" s="60"/>
      <c r="F99" s="131">
        <f>F85</f>
        <v>6</v>
      </c>
      <c r="G99" s="61"/>
      <c r="H99" s="61">
        <f>E99*F99</f>
        <v>0</v>
      </c>
      <c r="I99" s="63">
        <v>0.01</v>
      </c>
      <c r="J99" s="92">
        <f>I99*F99</f>
        <v>0.06</v>
      </c>
      <c r="K99" s="65"/>
      <c r="L99" s="20"/>
      <c r="N99" s="9"/>
    </row>
    <row r="100" spans="1:14" x14ac:dyDescent="0.2">
      <c r="A100" s="10"/>
      <c r="B100" s="382">
        <v>184215413</v>
      </c>
      <c r="C100" s="422" t="s">
        <v>113</v>
      </c>
      <c r="D100" s="112" t="s">
        <v>31</v>
      </c>
      <c r="E100" s="60"/>
      <c r="F100" s="131">
        <f>F85</f>
        <v>6</v>
      </c>
      <c r="G100" s="61"/>
      <c r="H100" s="61">
        <f>E100*F100</f>
        <v>0</v>
      </c>
      <c r="I100" s="63"/>
      <c r="J100" s="92"/>
      <c r="K100" s="65"/>
      <c r="L100" s="57"/>
      <c r="N100" s="9"/>
    </row>
    <row r="101" spans="1:14" x14ac:dyDescent="0.2">
      <c r="A101" s="10"/>
      <c r="B101" s="382">
        <v>184911421</v>
      </c>
      <c r="C101" s="422" t="s">
        <v>114</v>
      </c>
      <c r="D101" s="112" t="s">
        <v>66</v>
      </c>
      <c r="E101" s="113"/>
      <c r="F101" s="132">
        <f>F85*((0.4*0.4)*3.14)</f>
        <v>3.0144000000000002</v>
      </c>
      <c r="G101" s="61"/>
      <c r="H101" s="61">
        <f>E101*F101</f>
        <v>0</v>
      </c>
      <c r="I101" s="63"/>
      <c r="J101" s="92"/>
      <c r="K101" s="65"/>
      <c r="L101" s="20"/>
      <c r="N101" s="9"/>
    </row>
    <row r="102" spans="1:14" x14ac:dyDescent="0.2">
      <c r="A102" s="10"/>
      <c r="B102" s="382" t="s">
        <v>34</v>
      </c>
      <c r="C102" s="422" t="s">
        <v>115</v>
      </c>
      <c r="D102" s="112" t="s">
        <v>39</v>
      </c>
      <c r="E102" s="113"/>
      <c r="F102" s="132">
        <f>0.1*1.15*F101</f>
        <v>0.34665600000000002</v>
      </c>
      <c r="G102" s="61">
        <f>E102*F102</f>
        <v>0</v>
      </c>
      <c r="H102" s="61"/>
      <c r="I102" s="63"/>
      <c r="J102" s="92"/>
      <c r="K102" s="65"/>
      <c r="L102" s="20"/>
      <c r="N102" s="9"/>
    </row>
    <row r="103" spans="1:14" x14ac:dyDescent="0.2">
      <c r="A103" s="10"/>
      <c r="B103" s="382">
        <v>185804311</v>
      </c>
      <c r="C103" s="422" t="s">
        <v>116</v>
      </c>
      <c r="D103" s="112" t="s">
        <v>39</v>
      </c>
      <c r="E103" s="108"/>
      <c r="F103" s="132">
        <f>F85*0.1</f>
        <v>0.60000000000000009</v>
      </c>
      <c r="G103" s="61"/>
      <c r="H103" s="61">
        <f>E103*F103</f>
        <v>0</v>
      </c>
      <c r="I103" s="63"/>
      <c r="J103" s="92"/>
      <c r="K103" s="65"/>
      <c r="L103" s="20"/>
      <c r="N103" s="9"/>
    </row>
    <row r="104" spans="1:14" x14ac:dyDescent="0.2">
      <c r="A104" s="10"/>
      <c r="B104" s="382">
        <v>998231411</v>
      </c>
      <c r="C104" s="422" t="s">
        <v>94</v>
      </c>
      <c r="D104" s="112" t="s">
        <v>16</v>
      </c>
      <c r="E104" s="113"/>
      <c r="F104" s="132">
        <f>J104</f>
        <v>0.81359999999999988</v>
      </c>
      <c r="G104" s="61"/>
      <c r="H104" s="61">
        <f>E104*F104</f>
        <v>0</v>
      </c>
      <c r="I104" s="63" t="s">
        <v>6</v>
      </c>
      <c r="J104" s="92">
        <f>SUM(J84:J103)</f>
        <v>0.81359999999999988</v>
      </c>
      <c r="K104" s="65"/>
      <c r="L104" s="20"/>
      <c r="N104" s="9"/>
    </row>
    <row r="105" spans="1:14" x14ac:dyDescent="0.2">
      <c r="A105" s="10"/>
      <c r="B105" s="382"/>
      <c r="C105" s="422" t="s">
        <v>86</v>
      </c>
      <c r="D105" s="112"/>
      <c r="E105" s="134"/>
      <c r="F105" s="132"/>
      <c r="G105" s="61"/>
      <c r="H105" s="61"/>
      <c r="I105" s="63"/>
      <c r="J105" s="64"/>
      <c r="K105" s="65"/>
      <c r="L105" s="20"/>
      <c r="N105" s="9"/>
    </row>
    <row r="106" spans="1:14" s="78" customFormat="1" ht="25.5" x14ac:dyDescent="0.2">
      <c r="A106" s="36"/>
      <c r="B106" s="377" t="s">
        <v>34</v>
      </c>
      <c r="C106" s="414" t="s">
        <v>117</v>
      </c>
      <c r="D106" s="18" t="s">
        <v>39</v>
      </c>
      <c r="E106" s="115"/>
      <c r="F106" s="44">
        <f>F107</f>
        <v>5.3999999999999995</v>
      </c>
      <c r="G106" s="108"/>
      <c r="H106" s="108"/>
      <c r="I106" s="63"/>
      <c r="J106" s="64"/>
      <c r="K106" s="65"/>
      <c r="L106" s="20"/>
      <c r="N106" s="9"/>
    </row>
    <row r="107" spans="1:14" x14ac:dyDescent="0.2">
      <c r="A107" s="36"/>
      <c r="B107" s="377">
        <v>185804311</v>
      </c>
      <c r="C107" s="414" t="s">
        <v>88</v>
      </c>
      <c r="D107" s="18" t="s">
        <v>39</v>
      </c>
      <c r="E107" s="108"/>
      <c r="F107" s="44">
        <f>F81*0.075*12</f>
        <v>5.3999999999999995</v>
      </c>
      <c r="G107" s="108"/>
      <c r="H107" s="108">
        <f>E107*F107</f>
        <v>0</v>
      </c>
      <c r="I107" s="63"/>
      <c r="J107" s="64"/>
      <c r="K107" s="65"/>
      <c r="L107" s="20"/>
      <c r="N107" s="9"/>
    </row>
    <row r="108" spans="1:14" ht="25.5" x14ac:dyDescent="0.2">
      <c r="A108" s="36"/>
      <c r="B108" s="377">
        <v>185804213</v>
      </c>
      <c r="C108" s="414" t="s">
        <v>118</v>
      </c>
      <c r="D108" s="18" t="s">
        <v>66</v>
      </c>
      <c r="E108" s="115"/>
      <c r="F108" s="44">
        <f>F81*3</f>
        <v>18</v>
      </c>
      <c r="G108" s="108"/>
      <c r="H108" s="108">
        <f>E108*F108</f>
        <v>0</v>
      </c>
      <c r="I108" s="63"/>
      <c r="J108" s="64"/>
      <c r="K108" s="65"/>
      <c r="L108" s="20"/>
      <c r="N108" s="9"/>
    </row>
    <row r="109" spans="1:14" x14ac:dyDescent="0.2">
      <c r="A109" s="36"/>
      <c r="B109" s="377" t="s">
        <v>90</v>
      </c>
      <c r="C109" s="414" t="s">
        <v>91</v>
      </c>
      <c r="D109" s="18" t="s">
        <v>39</v>
      </c>
      <c r="E109" s="108"/>
      <c r="F109" s="44">
        <f>F108*0.005</f>
        <v>0.09</v>
      </c>
      <c r="G109" s="108"/>
      <c r="H109" s="108">
        <f>E109*F109</f>
        <v>0</v>
      </c>
      <c r="I109" s="63"/>
      <c r="J109" s="64"/>
      <c r="K109" s="65"/>
      <c r="L109" s="20"/>
      <c r="N109" s="9"/>
    </row>
    <row r="110" spans="1:14" ht="63.75" x14ac:dyDescent="0.2">
      <c r="A110" s="36"/>
      <c r="B110" s="377" t="s">
        <v>18</v>
      </c>
      <c r="C110" s="414" t="s">
        <v>92</v>
      </c>
      <c r="D110" s="18"/>
      <c r="E110" s="115"/>
      <c r="F110" s="44"/>
      <c r="G110" s="108"/>
      <c r="H110" s="108"/>
      <c r="I110" s="63"/>
      <c r="J110" s="64"/>
      <c r="K110" s="65"/>
      <c r="L110" s="20"/>
      <c r="N110" s="9"/>
    </row>
    <row r="111" spans="1:14" x14ac:dyDescent="0.2">
      <c r="A111" s="36"/>
      <c r="B111" s="377">
        <v>184806152</v>
      </c>
      <c r="C111" s="414" t="s">
        <v>119</v>
      </c>
      <c r="D111" s="18" t="s">
        <v>31</v>
      </c>
      <c r="E111" s="108"/>
      <c r="F111" s="135">
        <f>F85</f>
        <v>6</v>
      </c>
      <c r="G111" s="108"/>
      <c r="H111" s="108">
        <f>E111*F111</f>
        <v>0</v>
      </c>
      <c r="I111" s="63"/>
      <c r="J111" s="64"/>
      <c r="K111" s="65"/>
      <c r="L111" s="20"/>
      <c r="N111" s="9"/>
    </row>
    <row r="112" spans="1:14" s="9" customFormat="1" ht="12.75" x14ac:dyDescent="0.2">
      <c r="A112" s="36"/>
      <c r="B112" s="377" t="s">
        <v>32</v>
      </c>
      <c r="C112" s="414" t="s">
        <v>93</v>
      </c>
      <c r="D112" s="18" t="s">
        <v>39</v>
      </c>
      <c r="E112" s="108"/>
      <c r="F112" s="44">
        <f>(F111)*0.02</f>
        <v>0.12</v>
      </c>
      <c r="G112" s="108"/>
      <c r="H112" s="108">
        <f>E112*F112</f>
        <v>0</v>
      </c>
      <c r="I112" s="63">
        <v>0.75</v>
      </c>
      <c r="J112" s="64"/>
      <c r="K112" s="65"/>
      <c r="L112" s="20"/>
    </row>
    <row r="113" spans="1:18" s="9" customFormat="1" ht="12.75" x14ac:dyDescent="0.2">
      <c r="A113" s="58"/>
      <c r="B113" s="380">
        <v>998231411</v>
      </c>
      <c r="C113" s="410" t="s">
        <v>94</v>
      </c>
      <c r="D113" s="13" t="s">
        <v>16</v>
      </c>
      <c r="E113" s="117"/>
      <c r="F113" s="118">
        <f>J113</f>
        <v>1.6271999999999998</v>
      </c>
      <c r="G113" s="119"/>
      <c r="H113" s="120">
        <f>F113*E113</f>
        <v>0</v>
      </c>
      <c r="I113" s="136" t="s">
        <v>6</v>
      </c>
      <c r="J113" s="137">
        <f>SUM(J85:J112)</f>
        <v>1.6271999999999998</v>
      </c>
      <c r="K113" s="138"/>
      <c r="L113" s="20"/>
      <c r="M113" s="82"/>
      <c r="O113" s="82"/>
      <c r="P113" s="82"/>
      <c r="Q113" s="82"/>
      <c r="R113" s="82"/>
    </row>
    <row r="114" spans="1:18" s="9" customFormat="1" ht="12.75" x14ac:dyDescent="0.2">
      <c r="A114" s="58"/>
      <c r="B114" s="377"/>
      <c r="C114" s="414"/>
      <c r="D114" s="59"/>
      <c r="E114" s="60"/>
      <c r="F114" s="59"/>
      <c r="G114" s="61"/>
      <c r="H114" s="62"/>
      <c r="I114" s="63"/>
      <c r="J114" s="64"/>
      <c r="K114" s="65"/>
      <c r="L114" s="20"/>
      <c r="M114" s="82"/>
      <c r="O114" s="82"/>
      <c r="P114" s="82"/>
      <c r="Q114" s="82"/>
      <c r="R114" s="82"/>
    </row>
    <row r="115" spans="1:18" s="28" customFormat="1" ht="25.5" x14ac:dyDescent="0.2">
      <c r="A115" s="22"/>
      <c r="B115" s="375" t="s">
        <v>18</v>
      </c>
      <c r="C115" s="412" t="s">
        <v>120</v>
      </c>
      <c r="D115" s="23"/>
      <c r="E115" s="23" t="s">
        <v>20</v>
      </c>
      <c r="F115" s="24" t="s">
        <v>121</v>
      </c>
      <c r="G115" s="25" t="s">
        <v>22</v>
      </c>
      <c r="H115" s="25" t="s">
        <v>23</v>
      </c>
      <c r="I115" s="26" t="s">
        <v>24</v>
      </c>
      <c r="J115" s="26" t="s">
        <v>25</v>
      </c>
      <c r="K115" s="25" t="s">
        <v>26</v>
      </c>
      <c r="L115" s="27"/>
      <c r="N115" s="9"/>
    </row>
    <row r="116" spans="1:18" x14ac:dyDescent="0.2">
      <c r="A116" s="58"/>
      <c r="B116" s="376" t="s">
        <v>491</v>
      </c>
      <c r="C116" s="413" t="s">
        <v>492</v>
      </c>
      <c r="D116" s="30"/>
      <c r="E116" s="139"/>
      <c r="F116" s="30"/>
      <c r="G116" s="140"/>
      <c r="H116" s="140"/>
      <c r="I116" s="140"/>
      <c r="J116" s="140"/>
      <c r="K116" s="34"/>
      <c r="L116" s="20"/>
      <c r="N116" s="9"/>
    </row>
    <row r="117" spans="1:18" x14ac:dyDescent="0.2">
      <c r="A117" s="58"/>
      <c r="B117" s="376" t="s">
        <v>709</v>
      </c>
      <c r="C117" s="413" t="s">
        <v>493</v>
      </c>
      <c r="D117" s="30"/>
      <c r="E117" s="139"/>
      <c r="F117" s="30"/>
      <c r="G117" s="140"/>
      <c r="H117" s="140"/>
      <c r="I117" s="140"/>
      <c r="J117" s="140"/>
      <c r="K117" s="34"/>
      <c r="L117" s="20"/>
      <c r="N117" s="9"/>
    </row>
    <row r="118" spans="1:18" x14ac:dyDescent="0.2">
      <c r="A118" s="58"/>
      <c r="B118" s="376" t="s">
        <v>122</v>
      </c>
      <c r="C118" s="413" t="s">
        <v>123</v>
      </c>
      <c r="D118" s="30" t="s">
        <v>29</v>
      </c>
      <c r="E118" s="139">
        <f>I118/F118</f>
        <v>0</v>
      </c>
      <c r="F118" s="30">
        <f>F169+F143+F119</f>
        <v>48</v>
      </c>
      <c r="G118" s="140">
        <f>SUM(G119:G193)</f>
        <v>0</v>
      </c>
      <c r="H118" s="140">
        <f>SUM(H119:H193)</f>
        <v>0</v>
      </c>
      <c r="I118" s="140">
        <f>H118+G118</f>
        <v>0</v>
      </c>
      <c r="J118" s="140">
        <f>I118/100*21</f>
        <v>0</v>
      </c>
      <c r="K118" s="34">
        <f>J118+I118</f>
        <v>0</v>
      </c>
      <c r="L118" s="20"/>
      <c r="N118" s="9"/>
    </row>
    <row r="119" spans="1:18" s="9" customFormat="1" ht="12.75" x14ac:dyDescent="0.2">
      <c r="A119" s="58"/>
      <c r="B119" s="383" t="s">
        <v>18</v>
      </c>
      <c r="C119" s="409" t="s">
        <v>124</v>
      </c>
      <c r="D119" s="10" t="s">
        <v>29</v>
      </c>
      <c r="E119" s="141"/>
      <c r="F119" s="142">
        <f>SUM(F120:F123)</f>
        <v>9</v>
      </c>
      <c r="G119" s="143"/>
      <c r="H119" s="143"/>
      <c r="I119" s="144"/>
      <c r="J119" s="145"/>
      <c r="K119" s="146"/>
      <c r="L119" s="147"/>
    </row>
    <row r="120" spans="1:18" s="9" customFormat="1" ht="12.75" x14ac:dyDescent="0.2">
      <c r="A120" s="58"/>
      <c r="B120" s="377" t="s">
        <v>34</v>
      </c>
      <c r="C120" s="423" t="s">
        <v>125</v>
      </c>
      <c r="D120" s="10" t="s">
        <v>29</v>
      </c>
      <c r="E120" s="148"/>
      <c r="F120" s="142">
        <v>3</v>
      </c>
      <c r="G120" s="62">
        <f>E120*F120</f>
        <v>0</v>
      </c>
      <c r="H120" s="62"/>
      <c r="I120" s="144">
        <v>0.03</v>
      </c>
      <c r="J120" s="145">
        <f>I120*F120</f>
        <v>0.09</v>
      </c>
      <c r="K120" s="146"/>
      <c r="L120" s="147"/>
    </row>
    <row r="121" spans="1:18" s="9" customFormat="1" ht="12.75" x14ac:dyDescent="0.2">
      <c r="A121" s="58"/>
      <c r="B121" s="377" t="s">
        <v>126</v>
      </c>
      <c r="C121" s="423" t="s">
        <v>127</v>
      </c>
      <c r="D121" s="10" t="s">
        <v>29</v>
      </c>
      <c r="E121" s="148"/>
      <c r="F121" s="10">
        <v>2</v>
      </c>
      <c r="G121" s="62">
        <f>E121*F121</f>
        <v>0</v>
      </c>
      <c r="H121" s="62"/>
      <c r="I121" s="144">
        <v>0.1</v>
      </c>
      <c r="J121" s="145">
        <f>I121*F121</f>
        <v>0.2</v>
      </c>
      <c r="K121" s="146"/>
      <c r="L121" s="8"/>
    </row>
    <row r="122" spans="1:18" s="9" customFormat="1" ht="12.75" x14ac:dyDescent="0.2">
      <c r="A122" s="58"/>
      <c r="B122" s="377" t="s">
        <v>128</v>
      </c>
      <c r="C122" s="423" t="s">
        <v>129</v>
      </c>
      <c r="D122" s="10" t="s">
        <v>29</v>
      </c>
      <c r="E122" s="148"/>
      <c r="F122" s="10">
        <v>2</v>
      </c>
      <c r="G122" s="62">
        <f>E122*F122</f>
        <v>0</v>
      </c>
      <c r="H122" s="62"/>
      <c r="I122" s="144">
        <v>0.1</v>
      </c>
      <c r="J122" s="145">
        <f>I122*F122</f>
        <v>0.2</v>
      </c>
      <c r="K122" s="146"/>
      <c r="L122" s="8"/>
    </row>
    <row r="123" spans="1:18" s="9" customFormat="1" ht="12.75" x14ac:dyDescent="0.2">
      <c r="A123" s="58"/>
      <c r="B123" s="377" t="s">
        <v>128</v>
      </c>
      <c r="C123" s="423" t="s">
        <v>130</v>
      </c>
      <c r="D123" s="10" t="s">
        <v>29</v>
      </c>
      <c r="E123" s="148"/>
      <c r="F123" s="10">
        <v>2</v>
      </c>
      <c r="G123" s="62">
        <f>E123*F123</f>
        <v>0</v>
      </c>
      <c r="H123" s="62"/>
      <c r="I123" s="144">
        <v>0.1</v>
      </c>
      <c r="J123" s="145">
        <f>I123*F123</f>
        <v>0.2</v>
      </c>
      <c r="K123" s="146"/>
      <c r="L123" s="8"/>
    </row>
    <row r="124" spans="1:18" s="9" customFormat="1" ht="12.75" x14ac:dyDescent="0.2">
      <c r="A124" s="58"/>
      <c r="B124" s="377" t="s">
        <v>18</v>
      </c>
      <c r="C124" s="414" t="s">
        <v>131</v>
      </c>
      <c r="D124" s="10" t="s">
        <v>39</v>
      </c>
      <c r="E124" s="148"/>
      <c r="F124" s="59">
        <v>2.5000000000000001E-2</v>
      </c>
      <c r="G124" s="62"/>
      <c r="H124" s="62"/>
      <c r="I124" s="144"/>
      <c r="J124" s="145"/>
      <c r="K124" s="146"/>
      <c r="L124" s="147"/>
    </row>
    <row r="125" spans="1:18" x14ac:dyDescent="0.2">
      <c r="A125" s="58"/>
      <c r="B125" s="382">
        <v>184852322</v>
      </c>
      <c r="C125" s="422" t="s">
        <v>132</v>
      </c>
      <c r="D125" s="112" t="s">
        <v>31</v>
      </c>
      <c r="E125" s="149"/>
      <c r="F125" s="131">
        <f>F119</f>
        <v>9</v>
      </c>
      <c r="G125" s="61"/>
      <c r="H125" s="61">
        <f>E125*F125</f>
        <v>0</v>
      </c>
      <c r="I125" s="63"/>
      <c r="J125" s="64"/>
      <c r="K125" s="146"/>
      <c r="L125" s="20"/>
      <c r="N125" s="9"/>
    </row>
    <row r="126" spans="1:18" s="9" customFormat="1" ht="12.75" x14ac:dyDescent="0.2">
      <c r="A126" s="58"/>
      <c r="B126" s="377" t="s">
        <v>32</v>
      </c>
      <c r="C126" s="414" t="s">
        <v>133</v>
      </c>
      <c r="D126" s="10" t="s">
        <v>29</v>
      </c>
      <c r="E126" s="148"/>
      <c r="F126" s="142">
        <f>F119</f>
        <v>9</v>
      </c>
      <c r="G126" s="62"/>
      <c r="H126" s="62">
        <f>E126*F126</f>
        <v>0</v>
      </c>
      <c r="I126" s="144"/>
      <c r="J126" s="145"/>
      <c r="K126" s="146"/>
      <c r="L126" s="147"/>
    </row>
    <row r="127" spans="1:18" s="9" customFormat="1" ht="25.5" x14ac:dyDescent="0.2">
      <c r="A127" s="58"/>
      <c r="B127" s="377">
        <v>183101314</v>
      </c>
      <c r="C127" s="414" t="s">
        <v>134</v>
      </c>
      <c r="D127" s="10" t="s">
        <v>31</v>
      </c>
      <c r="E127" s="148"/>
      <c r="F127" s="142">
        <f>F119</f>
        <v>9</v>
      </c>
      <c r="G127" s="62"/>
      <c r="H127" s="62">
        <f>E127*F127</f>
        <v>0</v>
      </c>
      <c r="I127" s="144"/>
      <c r="J127" s="145"/>
      <c r="K127" s="146"/>
      <c r="L127" s="147"/>
    </row>
    <row r="128" spans="1:18" s="9" customFormat="1" ht="25.5" x14ac:dyDescent="0.2">
      <c r="A128" s="58"/>
      <c r="B128" s="377" t="s">
        <v>34</v>
      </c>
      <c r="C128" s="414" t="s">
        <v>135</v>
      </c>
      <c r="D128" s="10" t="s">
        <v>39</v>
      </c>
      <c r="E128" s="148"/>
      <c r="F128" s="18">
        <f>(0.085-0.035)*F119</f>
        <v>0.45</v>
      </c>
      <c r="G128" s="62">
        <f>E128*F128</f>
        <v>0</v>
      </c>
      <c r="H128" s="62"/>
      <c r="I128" s="144"/>
      <c r="J128" s="145"/>
      <c r="K128" s="146"/>
      <c r="L128" s="147"/>
    </row>
    <row r="129" spans="1:15" s="9" customFormat="1" ht="25.5" x14ac:dyDescent="0.2">
      <c r="A129" s="58"/>
      <c r="B129" s="377" t="s">
        <v>34</v>
      </c>
      <c r="C129" s="414" t="s">
        <v>136</v>
      </c>
      <c r="D129" s="10" t="s">
        <v>39</v>
      </c>
      <c r="E129" s="148"/>
      <c r="F129" s="18">
        <f>0.28*F119</f>
        <v>2.5200000000000005</v>
      </c>
      <c r="G129" s="62">
        <f>E129*F129</f>
        <v>0</v>
      </c>
      <c r="H129" s="62"/>
      <c r="I129" s="144"/>
      <c r="J129" s="145"/>
      <c r="K129" s="146"/>
      <c r="L129" s="147"/>
    </row>
    <row r="130" spans="1:15" s="9" customFormat="1" ht="12.75" x14ac:dyDescent="0.2">
      <c r="A130" s="58"/>
      <c r="B130" s="377" t="s">
        <v>34</v>
      </c>
      <c r="C130" s="414" t="s">
        <v>137</v>
      </c>
      <c r="D130" s="10" t="s">
        <v>29</v>
      </c>
      <c r="E130" s="141"/>
      <c r="F130" s="150">
        <f>F119*5</f>
        <v>45</v>
      </c>
      <c r="G130" s="62">
        <f>E130*F130</f>
        <v>0</v>
      </c>
      <c r="H130" s="62"/>
      <c r="I130" s="144"/>
      <c r="J130" s="145"/>
      <c r="K130" s="146"/>
      <c r="L130" s="147"/>
    </row>
    <row r="131" spans="1:15" s="9" customFormat="1" ht="12.75" x14ac:dyDescent="0.2">
      <c r="A131" s="58"/>
      <c r="B131" s="377">
        <v>185802114</v>
      </c>
      <c r="C131" s="414" t="s">
        <v>138</v>
      </c>
      <c r="D131" s="10" t="s">
        <v>16</v>
      </c>
      <c r="E131" s="148"/>
      <c r="F131" s="151">
        <f>(F130/100000)</f>
        <v>4.4999999999999999E-4</v>
      </c>
      <c r="G131" s="62"/>
      <c r="H131" s="62">
        <f>E131*F131</f>
        <v>0</v>
      </c>
      <c r="I131" s="144"/>
      <c r="J131" s="145"/>
      <c r="K131" s="146"/>
      <c r="L131" s="147"/>
    </row>
    <row r="132" spans="1:15" s="9" customFormat="1" ht="25.5" x14ac:dyDescent="0.2">
      <c r="A132" s="58"/>
      <c r="B132" s="377">
        <v>184102114</v>
      </c>
      <c r="C132" s="414" t="s">
        <v>139</v>
      </c>
      <c r="D132" s="10" t="s">
        <v>31</v>
      </c>
      <c r="E132" s="148"/>
      <c r="F132" s="142">
        <f>F119</f>
        <v>9</v>
      </c>
      <c r="G132" s="62"/>
      <c r="H132" s="62">
        <f>E132*F132</f>
        <v>0</v>
      </c>
      <c r="I132" s="144"/>
      <c r="J132" s="145"/>
      <c r="K132" s="146"/>
      <c r="L132" s="147"/>
    </row>
    <row r="133" spans="1:15" s="9" customFormat="1" ht="12.75" x14ac:dyDescent="0.2">
      <c r="A133" s="58"/>
      <c r="B133" s="377" t="s">
        <v>34</v>
      </c>
      <c r="C133" s="414" t="s">
        <v>140</v>
      </c>
      <c r="D133" s="10" t="s">
        <v>39</v>
      </c>
      <c r="E133" s="148"/>
      <c r="F133" s="59">
        <f>0.035*F119</f>
        <v>0.31500000000000006</v>
      </c>
      <c r="G133" s="62"/>
      <c r="H133" s="62"/>
      <c r="I133" s="144"/>
      <c r="J133" s="145"/>
      <c r="K133" s="146"/>
      <c r="L133" s="147"/>
    </row>
    <row r="134" spans="1:15" s="9" customFormat="1" ht="12.75" x14ac:dyDescent="0.2">
      <c r="A134" s="58"/>
      <c r="B134" s="377" t="s">
        <v>34</v>
      </c>
      <c r="C134" s="414" t="s">
        <v>141</v>
      </c>
      <c r="D134" s="10" t="s">
        <v>29</v>
      </c>
      <c r="E134" s="148"/>
      <c r="F134" s="142">
        <f>F119</f>
        <v>9</v>
      </c>
      <c r="G134" s="62">
        <f>E134*F134</f>
        <v>0</v>
      </c>
      <c r="H134" s="62"/>
      <c r="I134" s="144">
        <v>0.01</v>
      </c>
      <c r="J134" s="145">
        <f>I134*F134</f>
        <v>0.09</v>
      </c>
      <c r="K134" s="146"/>
      <c r="L134" s="147"/>
    </row>
    <row r="135" spans="1:15" s="9" customFormat="1" ht="12.75" x14ac:dyDescent="0.2">
      <c r="A135" s="58"/>
      <c r="B135" s="377" t="s">
        <v>32</v>
      </c>
      <c r="C135" s="414" t="s">
        <v>142</v>
      </c>
      <c r="D135" s="10" t="s">
        <v>29</v>
      </c>
      <c r="E135" s="148"/>
      <c r="F135" s="142">
        <f>F119</f>
        <v>9</v>
      </c>
      <c r="G135" s="62"/>
      <c r="H135" s="62">
        <f t="shared" ref="H135:H140" si="1">E135*F135</f>
        <v>0</v>
      </c>
      <c r="I135" s="144"/>
      <c r="J135" s="145"/>
      <c r="K135" s="146"/>
      <c r="L135" s="147"/>
    </row>
    <row r="136" spans="1:15" s="9" customFormat="1" ht="12.75" x14ac:dyDescent="0.2">
      <c r="A136" s="58"/>
      <c r="B136" s="377">
        <v>184215133</v>
      </c>
      <c r="C136" s="414" t="s">
        <v>143</v>
      </c>
      <c r="D136" s="10" t="s">
        <v>31</v>
      </c>
      <c r="E136" s="148"/>
      <c r="F136" s="142">
        <f>F119</f>
        <v>9</v>
      </c>
      <c r="G136" s="62"/>
      <c r="H136" s="62">
        <f t="shared" si="1"/>
        <v>0</v>
      </c>
      <c r="I136" s="144"/>
      <c r="J136" s="145"/>
      <c r="K136" s="146"/>
      <c r="L136" s="147"/>
    </row>
    <row r="137" spans="1:15" s="9" customFormat="1" ht="12.75" x14ac:dyDescent="0.2">
      <c r="A137" s="58"/>
      <c r="B137" s="377">
        <v>185804311</v>
      </c>
      <c r="C137" s="414" t="s">
        <v>144</v>
      </c>
      <c r="D137" s="10" t="s">
        <v>39</v>
      </c>
      <c r="E137" s="149"/>
      <c r="F137" s="59">
        <f>F119*0.08</f>
        <v>0.72</v>
      </c>
      <c r="G137" s="62"/>
      <c r="H137" s="62">
        <f t="shared" si="1"/>
        <v>0</v>
      </c>
      <c r="I137" s="144"/>
      <c r="J137" s="145"/>
      <c r="K137" s="146"/>
      <c r="L137" s="147"/>
    </row>
    <row r="138" spans="1:15" s="9" customFormat="1" ht="12.75" x14ac:dyDescent="0.2">
      <c r="A138" s="58"/>
      <c r="B138" s="377" t="s">
        <v>32</v>
      </c>
      <c r="C138" s="414" t="s">
        <v>145</v>
      </c>
      <c r="D138" s="10" t="s">
        <v>29</v>
      </c>
      <c r="E138" s="149"/>
      <c r="F138" s="142">
        <f>F119</f>
        <v>9</v>
      </c>
      <c r="G138" s="62"/>
      <c r="H138" s="62">
        <f t="shared" si="1"/>
        <v>0</v>
      </c>
      <c r="I138" s="144"/>
      <c r="J138" s="145"/>
      <c r="K138" s="146"/>
      <c r="L138" s="147"/>
    </row>
    <row r="139" spans="1:15" s="9" customFormat="1" ht="12.75" x14ac:dyDescent="0.2">
      <c r="A139" s="58"/>
      <c r="B139" s="377">
        <v>184215413</v>
      </c>
      <c r="C139" s="414" t="s">
        <v>113</v>
      </c>
      <c r="D139" s="10" t="s">
        <v>31</v>
      </c>
      <c r="E139" s="152"/>
      <c r="F139" s="10">
        <f>F119</f>
        <v>9</v>
      </c>
      <c r="G139" s="62"/>
      <c r="H139" s="62">
        <f t="shared" si="1"/>
        <v>0</v>
      </c>
      <c r="I139" s="144"/>
      <c r="J139" s="145"/>
      <c r="K139" s="146"/>
      <c r="L139" s="147"/>
      <c r="O139" s="153"/>
    </row>
    <row r="140" spans="1:15" s="9" customFormat="1" ht="12.75" x14ac:dyDescent="0.2">
      <c r="A140" s="58"/>
      <c r="B140" s="377">
        <v>184911421</v>
      </c>
      <c r="C140" s="414" t="s">
        <v>114</v>
      </c>
      <c r="D140" s="10" t="s">
        <v>66</v>
      </c>
      <c r="E140" s="149"/>
      <c r="F140" s="154">
        <f>(3.14*((0.7*0.7)/4))*F119</f>
        <v>3.4618500000000001</v>
      </c>
      <c r="G140" s="62"/>
      <c r="H140" s="62">
        <f t="shared" si="1"/>
        <v>0</v>
      </c>
      <c r="I140" s="144"/>
      <c r="J140" s="145"/>
      <c r="K140" s="146"/>
      <c r="L140" s="147"/>
    </row>
    <row r="141" spans="1:15" s="9" customFormat="1" ht="12.75" x14ac:dyDescent="0.2">
      <c r="A141" s="58"/>
      <c r="B141" s="377" t="s">
        <v>18</v>
      </c>
      <c r="C141" s="414" t="s">
        <v>146</v>
      </c>
      <c r="D141" s="10" t="s">
        <v>39</v>
      </c>
      <c r="E141" s="149"/>
      <c r="F141" s="154">
        <f>F140*0.1</f>
        <v>0.34618500000000002</v>
      </c>
      <c r="G141" s="62">
        <f>E141*F141</f>
        <v>0</v>
      </c>
      <c r="H141" s="62"/>
      <c r="I141" s="144"/>
      <c r="J141" s="145"/>
      <c r="K141" s="146"/>
      <c r="L141" s="147"/>
    </row>
    <row r="142" spans="1:15" s="9" customFormat="1" ht="12.75" x14ac:dyDescent="0.2">
      <c r="A142" s="58"/>
      <c r="B142" s="380">
        <v>998231411</v>
      </c>
      <c r="C142" s="410" t="s">
        <v>94</v>
      </c>
      <c r="D142" s="13" t="s">
        <v>16</v>
      </c>
      <c r="E142" s="117"/>
      <c r="F142" s="118">
        <f>J142</f>
        <v>0.78</v>
      </c>
      <c r="G142" s="120"/>
      <c r="H142" s="120">
        <f>E142*F142</f>
        <v>0</v>
      </c>
      <c r="I142" s="155" t="s">
        <v>6</v>
      </c>
      <c r="J142" s="121">
        <f>SUM(J119:J141)</f>
        <v>0.78</v>
      </c>
      <c r="K142" s="146"/>
      <c r="L142" s="147"/>
    </row>
    <row r="143" spans="1:15" x14ac:dyDescent="0.2">
      <c r="A143" s="58"/>
      <c r="B143" s="384" t="s">
        <v>18</v>
      </c>
      <c r="C143" s="424" t="s">
        <v>147</v>
      </c>
      <c r="D143" s="156" t="s">
        <v>29</v>
      </c>
      <c r="E143" s="157"/>
      <c r="F143" s="112">
        <f>SUM(F144:F148)</f>
        <v>23</v>
      </c>
      <c r="G143" s="143"/>
      <c r="H143" s="143"/>
      <c r="I143" s="63"/>
      <c r="J143" s="64"/>
      <c r="K143" s="65"/>
      <c r="N143" s="9"/>
    </row>
    <row r="144" spans="1:15" s="9" customFormat="1" ht="12.75" x14ac:dyDescent="0.2">
      <c r="A144" s="58"/>
      <c r="B144" s="377" t="s">
        <v>148</v>
      </c>
      <c r="C144" s="414" t="s">
        <v>149</v>
      </c>
      <c r="D144" s="10" t="s">
        <v>29</v>
      </c>
      <c r="E144" s="148"/>
      <c r="F144" s="142">
        <v>3</v>
      </c>
      <c r="G144" s="62">
        <f>E144*F144</f>
        <v>0</v>
      </c>
      <c r="H144" s="62"/>
      <c r="I144" s="144">
        <v>0.1</v>
      </c>
      <c r="J144" s="145">
        <f>I144*F144</f>
        <v>0.30000000000000004</v>
      </c>
      <c r="K144" s="146"/>
      <c r="L144" s="147"/>
    </row>
    <row r="145" spans="1:14" s="9" customFormat="1" ht="12.75" x14ac:dyDescent="0.2">
      <c r="A145" s="58"/>
      <c r="B145" s="377" t="s">
        <v>148</v>
      </c>
      <c r="C145" s="414" t="s">
        <v>150</v>
      </c>
      <c r="D145" s="10" t="s">
        <v>29</v>
      </c>
      <c r="E145" s="148"/>
      <c r="F145" s="142">
        <v>6</v>
      </c>
      <c r="G145" s="62">
        <f>E145*F145</f>
        <v>0</v>
      </c>
      <c r="H145" s="62"/>
      <c r="I145" s="144">
        <v>0.1</v>
      </c>
      <c r="J145" s="145">
        <f>I145*F145</f>
        <v>0.60000000000000009</v>
      </c>
      <c r="K145" s="146"/>
      <c r="L145" s="147"/>
    </row>
    <row r="146" spans="1:14" s="9" customFormat="1" ht="12.75" x14ac:dyDescent="0.2">
      <c r="A146" s="58"/>
      <c r="B146" s="377" t="s">
        <v>148</v>
      </c>
      <c r="C146" s="414" t="s">
        <v>151</v>
      </c>
      <c r="D146" s="10" t="s">
        <v>29</v>
      </c>
      <c r="E146" s="148"/>
      <c r="F146" s="142">
        <v>5</v>
      </c>
      <c r="G146" s="62">
        <f>E146*F146</f>
        <v>0</v>
      </c>
      <c r="H146" s="62"/>
      <c r="I146" s="144">
        <v>0.1</v>
      </c>
      <c r="J146" s="145">
        <f>I146*F146</f>
        <v>0.5</v>
      </c>
      <c r="K146" s="146"/>
      <c r="L146" s="147"/>
    </row>
    <row r="147" spans="1:14" s="9" customFormat="1" ht="12.75" x14ac:dyDescent="0.2">
      <c r="A147" s="58"/>
      <c r="B147" s="377" t="s">
        <v>148</v>
      </c>
      <c r="C147" s="414" t="s">
        <v>152</v>
      </c>
      <c r="D147" s="10" t="s">
        <v>29</v>
      </c>
      <c r="E147" s="148"/>
      <c r="F147" s="142">
        <v>5</v>
      </c>
      <c r="G147" s="62">
        <f>E147*F147</f>
        <v>0</v>
      </c>
      <c r="H147" s="62"/>
      <c r="I147" s="144">
        <v>0.1</v>
      </c>
      <c r="J147" s="145">
        <f>I147*F147</f>
        <v>0.5</v>
      </c>
      <c r="K147" s="146"/>
      <c r="L147" s="147"/>
    </row>
    <row r="148" spans="1:14" s="9" customFormat="1" ht="12.75" x14ac:dyDescent="0.2">
      <c r="A148" s="58"/>
      <c r="B148" s="377" t="s">
        <v>153</v>
      </c>
      <c r="C148" s="414" t="s">
        <v>154</v>
      </c>
      <c r="D148" s="10" t="s">
        <v>29</v>
      </c>
      <c r="E148" s="148"/>
      <c r="F148" s="142">
        <v>4</v>
      </c>
      <c r="G148" s="62">
        <f>E148*F148</f>
        <v>0</v>
      </c>
      <c r="H148" s="62"/>
      <c r="I148" s="144">
        <v>0.1</v>
      </c>
      <c r="J148" s="145">
        <f>I148*F148</f>
        <v>0.4</v>
      </c>
      <c r="K148" s="146"/>
      <c r="L148" s="147"/>
    </row>
    <row r="149" spans="1:14" s="9" customFormat="1" ht="12.75" x14ac:dyDescent="0.2">
      <c r="A149" s="58"/>
      <c r="B149" s="377" t="s">
        <v>18</v>
      </c>
      <c r="C149" s="414" t="s">
        <v>155</v>
      </c>
      <c r="D149" s="10" t="s">
        <v>39</v>
      </c>
      <c r="E149" s="148"/>
      <c r="F149" s="59">
        <v>0.1</v>
      </c>
      <c r="G149" s="62"/>
      <c r="H149" s="62"/>
      <c r="I149" s="144"/>
      <c r="J149" s="145"/>
      <c r="K149" s="146"/>
      <c r="L149" s="147"/>
    </row>
    <row r="150" spans="1:14" x14ac:dyDescent="0.2">
      <c r="A150" s="58"/>
      <c r="B150" s="382">
        <v>184852322</v>
      </c>
      <c r="C150" s="422" t="s">
        <v>132</v>
      </c>
      <c r="D150" s="112" t="s">
        <v>31</v>
      </c>
      <c r="E150" s="149"/>
      <c r="F150" s="131">
        <f>F144</f>
        <v>3</v>
      </c>
      <c r="G150" s="61"/>
      <c r="H150" s="61">
        <f>E150*F150</f>
        <v>0</v>
      </c>
      <c r="I150" s="63"/>
      <c r="J150" s="64"/>
      <c r="K150" s="146"/>
      <c r="L150" s="20"/>
      <c r="N150" s="9"/>
    </row>
    <row r="151" spans="1:14" s="9" customFormat="1" ht="12.75" x14ac:dyDescent="0.2">
      <c r="A151" s="58"/>
      <c r="B151" s="377" t="s">
        <v>32</v>
      </c>
      <c r="C151" s="414" t="s">
        <v>133</v>
      </c>
      <c r="D151" s="10" t="s">
        <v>29</v>
      </c>
      <c r="E151" s="148"/>
      <c r="F151" s="142">
        <f>F143</f>
        <v>23</v>
      </c>
      <c r="G151" s="62"/>
      <c r="H151" s="62">
        <f>E151*F151</f>
        <v>0</v>
      </c>
      <c r="I151" s="144"/>
      <c r="J151" s="145"/>
      <c r="K151" s="146"/>
      <c r="L151" s="147"/>
    </row>
    <row r="152" spans="1:14" s="9" customFormat="1" ht="25.5" x14ac:dyDescent="0.2">
      <c r="A152" s="58"/>
      <c r="B152" s="377">
        <v>183101315</v>
      </c>
      <c r="C152" s="414" t="s">
        <v>156</v>
      </c>
      <c r="D152" s="10" t="s">
        <v>31</v>
      </c>
      <c r="E152" s="148"/>
      <c r="F152" s="142">
        <f>F143</f>
        <v>23</v>
      </c>
      <c r="G152" s="62"/>
      <c r="H152" s="62">
        <f>E152*F152</f>
        <v>0</v>
      </c>
      <c r="I152" s="144"/>
      <c r="J152" s="145"/>
      <c r="K152" s="146"/>
      <c r="L152" s="147"/>
    </row>
    <row r="153" spans="1:14" s="9" customFormat="1" ht="25.5" x14ac:dyDescent="0.2">
      <c r="A153" s="58"/>
      <c r="B153" s="377" t="s">
        <v>34</v>
      </c>
      <c r="C153" s="414" t="s">
        <v>157</v>
      </c>
      <c r="D153" s="10" t="s">
        <v>39</v>
      </c>
      <c r="E153" s="148"/>
      <c r="F153" s="59">
        <f>(0.244-0.066)*F143</f>
        <v>4.0939999999999994</v>
      </c>
      <c r="G153" s="62">
        <f>E153*F153</f>
        <v>0</v>
      </c>
      <c r="H153" s="62"/>
      <c r="I153" s="144"/>
      <c r="J153" s="145"/>
      <c r="K153" s="146"/>
      <c r="L153" s="147"/>
    </row>
    <row r="154" spans="1:14" s="9" customFormat="1" ht="25.5" x14ac:dyDescent="0.2">
      <c r="A154" s="58"/>
      <c r="B154" s="377" t="s">
        <v>34</v>
      </c>
      <c r="C154" s="414" t="s">
        <v>136</v>
      </c>
      <c r="D154" s="10" t="s">
        <v>39</v>
      </c>
      <c r="E154" s="148"/>
      <c r="F154" s="59">
        <f>0.28*F143</f>
        <v>6.44</v>
      </c>
      <c r="G154" s="62">
        <f>E154*F154</f>
        <v>0</v>
      </c>
      <c r="H154" s="62"/>
      <c r="I154" s="144"/>
      <c r="J154" s="145"/>
      <c r="K154" s="146"/>
      <c r="L154" s="147"/>
    </row>
    <row r="155" spans="1:14" s="9" customFormat="1" ht="12.75" x14ac:dyDescent="0.2">
      <c r="A155" s="58"/>
      <c r="B155" s="377" t="s">
        <v>34</v>
      </c>
      <c r="C155" s="414" t="s">
        <v>137</v>
      </c>
      <c r="D155" s="10" t="s">
        <v>29</v>
      </c>
      <c r="E155" s="148"/>
      <c r="F155" s="142">
        <f>F143*5</f>
        <v>115</v>
      </c>
      <c r="G155" s="62">
        <f>E155*F155</f>
        <v>0</v>
      </c>
      <c r="H155" s="62"/>
      <c r="I155" s="144"/>
      <c r="J155" s="145"/>
      <c r="K155" s="146"/>
      <c r="L155" s="147"/>
    </row>
    <row r="156" spans="1:14" s="9" customFormat="1" ht="12.75" x14ac:dyDescent="0.2">
      <c r="A156" s="58"/>
      <c r="B156" s="377">
        <v>185802114</v>
      </c>
      <c r="C156" s="414" t="s">
        <v>138</v>
      </c>
      <c r="D156" s="10" t="s">
        <v>16</v>
      </c>
      <c r="E156" s="148"/>
      <c r="F156" s="151">
        <f>(F155/100000)</f>
        <v>1.15E-3</v>
      </c>
      <c r="G156" s="62"/>
      <c r="H156" s="62">
        <f>E156*F156</f>
        <v>0</v>
      </c>
      <c r="I156" s="144"/>
      <c r="J156" s="145"/>
      <c r="K156" s="146"/>
      <c r="L156" s="147"/>
    </row>
    <row r="157" spans="1:14" s="9" customFormat="1" ht="25.5" x14ac:dyDescent="0.2">
      <c r="A157" s="58"/>
      <c r="B157" s="377" t="s">
        <v>32</v>
      </c>
      <c r="C157" s="414" t="s">
        <v>158</v>
      </c>
      <c r="D157" s="10" t="s">
        <v>29</v>
      </c>
      <c r="E157" s="148"/>
      <c r="F157" s="142">
        <f>F143</f>
        <v>23</v>
      </c>
      <c r="G157" s="62"/>
      <c r="H157" s="62">
        <f>E157*F157</f>
        <v>0</v>
      </c>
      <c r="I157" s="144"/>
      <c r="J157" s="145"/>
      <c r="K157" s="146"/>
      <c r="L157" s="8"/>
    </row>
    <row r="158" spans="1:14" s="9" customFormat="1" ht="12.75" x14ac:dyDescent="0.2">
      <c r="A158" s="58"/>
      <c r="B158" s="377">
        <v>184102116</v>
      </c>
      <c r="C158" s="414" t="s">
        <v>159</v>
      </c>
      <c r="D158" s="10" t="s">
        <v>31</v>
      </c>
      <c r="E158" s="141"/>
      <c r="F158" s="142">
        <f>F143</f>
        <v>23</v>
      </c>
      <c r="G158" s="62"/>
      <c r="H158" s="62">
        <f>E158*F158</f>
        <v>0</v>
      </c>
      <c r="I158" s="144"/>
      <c r="J158" s="145"/>
      <c r="K158" s="146"/>
      <c r="L158" s="8"/>
    </row>
    <row r="159" spans="1:14" s="9" customFormat="1" ht="12.75" x14ac:dyDescent="0.2">
      <c r="A159" s="58"/>
      <c r="B159" s="377" t="s">
        <v>34</v>
      </c>
      <c r="C159" s="414" t="s">
        <v>160</v>
      </c>
      <c r="D159" s="10" t="s">
        <v>39</v>
      </c>
      <c r="E159" s="141"/>
      <c r="F159" s="59">
        <f>0.066*F143</f>
        <v>1.518</v>
      </c>
      <c r="G159" s="62"/>
      <c r="H159" s="62"/>
      <c r="I159" s="144"/>
      <c r="J159" s="145"/>
      <c r="K159" s="146"/>
      <c r="L159" s="8"/>
    </row>
    <row r="160" spans="1:14" s="9" customFormat="1" ht="12.75" x14ac:dyDescent="0.2">
      <c r="A160" s="18"/>
      <c r="B160" s="377" t="s">
        <v>34</v>
      </c>
      <c r="C160" s="414" t="s">
        <v>141</v>
      </c>
      <c r="D160" s="10" t="s">
        <v>29</v>
      </c>
      <c r="E160" s="148"/>
      <c r="F160" s="142">
        <f>F143</f>
        <v>23</v>
      </c>
      <c r="G160" s="62">
        <f>E160*F160</f>
        <v>0</v>
      </c>
      <c r="H160" s="62"/>
      <c r="I160" s="144">
        <v>0.01</v>
      </c>
      <c r="J160" s="145">
        <f>I160*F160</f>
        <v>0.23</v>
      </c>
      <c r="K160" s="146"/>
      <c r="L160" s="8"/>
    </row>
    <row r="161" spans="1:14" s="9" customFormat="1" ht="12.75" x14ac:dyDescent="0.2">
      <c r="A161" s="18"/>
      <c r="B161" s="377" t="s">
        <v>32</v>
      </c>
      <c r="C161" s="414" t="s">
        <v>142</v>
      </c>
      <c r="D161" s="10" t="s">
        <v>29</v>
      </c>
      <c r="E161" s="148"/>
      <c r="F161" s="142">
        <f>F143</f>
        <v>23</v>
      </c>
      <c r="G161" s="62"/>
      <c r="H161" s="62">
        <f t="shared" ref="H161:H166" si="2">E161*F161</f>
        <v>0</v>
      </c>
      <c r="I161" s="144"/>
      <c r="J161" s="145"/>
      <c r="K161" s="146"/>
      <c r="L161" s="8"/>
    </row>
    <row r="162" spans="1:14" s="9" customFormat="1" ht="12.75" x14ac:dyDescent="0.2">
      <c r="A162" s="18"/>
      <c r="B162" s="377">
        <v>184215133</v>
      </c>
      <c r="C162" s="414" t="s">
        <v>143</v>
      </c>
      <c r="D162" s="10" t="s">
        <v>31</v>
      </c>
      <c r="E162" s="148"/>
      <c r="F162" s="142">
        <f>F143</f>
        <v>23</v>
      </c>
      <c r="G162" s="62"/>
      <c r="H162" s="62">
        <f t="shared" si="2"/>
        <v>0</v>
      </c>
      <c r="I162" s="144"/>
      <c r="J162" s="145"/>
      <c r="K162" s="146"/>
      <c r="L162" s="8"/>
    </row>
    <row r="163" spans="1:14" s="9" customFormat="1" ht="12.75" x14ac:dyDescent="0.2">
      <c r="A163" s="58"/>
      <c r="B163" s="377">
        <v>185804311</v>
      </c>
      <c r="C163" s="414" t="s">
        <v>144</v>
      </c>
      <c r="D163" s="10" t="s">
        <v>39</v>
      </c>
      <c r="E163" s="149"/>
      <c r="F163" s="59">
        <f>F143*0.08</f>
        <v>1.84</v>
      </c>
      <c r="G163" s="62"/>
      <c r="H163" s="62">
        <f t="shared" si="2"/>
        <v>0</v>
      </c>
      <c r="I163" s="144"/>
      <c r="J163" s="145"/>
      <c r="K163" s="146"/>
      <c r="L163" s="8"/>
    </row>
    <row r="164" spans="1:14" s="9" customFormat="1" ht="12.75" x14ac:dyDescent="0.2">
      <c r="A164" s="58"/>
      <c r="B164" s="377" t="s">
        <v>32</v>
      </c>
      <c r="C164" s="414" t="s">
        <v>145</v>
      </c>
      <c r="D164" s="10" t="s">
        <v>29</v>
      </c>
      <c r="E164" s="149"/>
      <c r="F164" s="142">
        <f>F143</f>
        <v>23</v>
      </c>
      <c r="G164" s="62"/>
      <c r="H164" s="62">
        <f t="shared" si="2"/>
        <v>0</v>
      </c>
      <c r="I164" s="144"/>
      <c r="J164" s="145"/>
      <c r="K164" s="146"/>
      <c r="L164" s="8"/>
    </row>
    <row r="165" spans="1:14" s="9" customFormat="1" ht="12.75" x14ac:dyDescent="0.2">
      <c r="A165" s="58"/>
      <c r="B165" s="377">
        <v>184215413</v>
      </c>
      <c r="C165" s="414" t="s">
        <v>113</v>
      </c>
      <c r="D165" s="10" t="s">
        <v>31</v>
      </c>
      <c r="E165" s="152"/>
      <c r="F165" s="10">
        <f>F143</f>
        <v>23</v>
      </c>
      <c r="G165" s="62"/>
      <c r="H165" s="62">
        <f t="shared" si="2"/>
        <v>0</v>
      </c>
      <c r="I165" s="144"/>
      <c r="J165" s="145"/>
      <c r="K165" s="146"/>
      <c r="L165" s="8"/>
    </row>
    <row r="166" spans="1:14" s="9" customFormat="1" ht="12.75" x14ac:dyDescent="0.2">
      <c r="A166" s="58"/>
      <c r="B166" s="377">
        <v>184911421</v>
      </c>
      <c r="C166" s="414" t="s">
        <v>114</v>
      </c>
      <c r="D166" s="10" t="s">
        <v>66</v>
      </c>
      <c r="E166" s="149"/>
      <c r="F166" s="10">
        <f>(3.14*((0.7*0.7)/4))*F143</f>
        <v>8.8469499999999996</v>
      </c>
      <c r="G166" s="62"/>
      <c r="H166" s="62">
        <f t="shared" si="2"/>
        <v>0</v>
      </c>
      <c r="I166" s="144"/>
      <c r="J166" s="145"/>
      <c r="K166" s="146"/>
      <c r="L166" s="8"/>
    </row>
    <row r="167" spans="1:14" s="9" customFormat="1" ht="12.75" x14ac:dyDescent="0.2">
      <c r="A167" s="58"/>
      <c r="B167" s="377" t="s">
        <v>18</v>
      </c>
      <c r="C167" s="414" t="s">
        <v>146</v>
      </c>
      <c r="D167" s="10" t="s">
        <v>39</v>
      </c>
      <c r="E167" s="149"/>
      <c r="F167" s="10">
        <f>F166*0.1</f>
        <v>0.88469500000000001</v>
      </c>
      <c r="G167" s="62">
        <f>E167*F167</f>
        <v>0</v>
      </c>
      <c r="H167" s="62"/>
      <c r="I167" s="144"/>
      <c r="J167" s="145"/>
      <c r="K167" s="146"/>
      <c r="L167" s="8"/>
    </row>
    <row r="168" spans="1:14" s="9" customFormat="1" ht="12.75" x14ac:dyDescent="0.2">
      <c r="A168" s="58"/>
      <c r="B168" s="380">
        <v>998231411</v>
      </c>
      <c r="C168" s="410" t="s">
        <v>94</v>
      </c>
      <c r="D168" s="13" t="s">
        <v>16</v>
      </c>
      <c r="E168" s="117"/>
      <c r="F168" s="118">
        <f>J168</f>
        <v>2.5300000000000002</v>
      </c>
      <c r="G168" s="120"/>
      <c r="H168" s="120">
        <f>E168*F168</f>
        <v>0</v>
      </c>
      <c r="I168" s="155" t="s">
        <v>6</v>
      </c>
      <c r="J168" s="121">
        <f>SUM(J143:J167)</f>
        <v>2.5300000000000002</v>
      </c>
      <c r="K168" s="146"/>
      <c r="L168" s="8"/>
    </row>
    <row r="169" spans="1:14" x14ac:dyDescent="0.2">
      <c r="A169" s="58"/>
      <c r="B169" s="382" t="s">
        <v>18</v>
      </c>
      <c r="C169" s="422" t="s">
        <v>161</v>
      </c>
      <c r="D169" s="112" t="s">
        <v>29</v>
      </c>
      <c r="E169" s="158"/>
      <c r="F169" s="112">
        <f>SUM(F170:F172)</f>
        <v>16</v>
      </c>
      <c r="G169" s="61"/>
      <c r="H169" s="61"/>
      <c r="I169" s="63"/>
      <c r="J169" s="64"/>
      <c r="K169" s="146"/>
      <c r="N169" s="9"/>
    </row>
    <row r="170" spans="1:14" s="9" customFormat="1" ht="12.75" x14ac:dyDescent="0.2">
      <c r="A170" s="58"/>
      <c r="B170" s="377" t="s">
        <v>162</v>
      </c>
      <c r="C170" s="414" t="s">
        <v>163</v>
      </c>
      <c r="D170" s="10" t="s">
        <v>29</v>
      </c>
      <c r="E170" s="148"/>
      <c r="F170" s="142">
        <v>5</v>
      </c>
      <c r="G170" s="62">
        <f>E170*F170</f>
        <v>0</v>
      </c>
      <c r="H170" s="62"/>
      <c r="I170" s="144">
        <v>0.15</v>
      </c>
      <c r="J170" s="145">
        <f>I170*F170</f>
        <v>0.75</v>
      </c>
      <c r="K170" s="146"/>
      <c r="L170" s="147"/>
    </row>
    <row r="171" spans="1:14" s="9" customFormat="1" ht="12.75" x14ac:dyDescent="0.2">
      <c r="A171" s="58"/>
      <c r="B171" s="377" t="s">
        <v>162</v>
      </c>
      <c r="C171" s="414" t="s">
        <v>164</v>
      </c>
      <c r="D171" s="10" t="s">
        <v>29</v>
      </c>
      <c r="E171" s="148"/>
      <c r="F171" s="142">
        <v>6</v>
      </c>
      <c r="G171" s="62">
        <f>E171*F171</f>
        <v>0</v>
      </c>
      <c r="H171" s="62"/>
      <c r="I171" s="144">
        <v>0.15</v>
      </c>
      <c r="J171" s="145">
        <f>I171*F171</f>
        <v>0.89999999999999991</v>
      </c>
      <c r="K171" s="146"/>
      <c r="L171" s="147"/>
    </row>
    <row r="172" spans="1:14" s="9" customFormat="1" ht="12.75" x14ac:dyDescent="0.2">
      <c r="A172" s="58"/>
      <c r="B172" s="377" t="s">
        <v>162</v>
      </c>
      <c r="C172" s="414" t="s">
        <v>165</v>
      </c>
      <c r="D172" s="10" t="s">
        <v>29</v>
      </c>
      <c r="E172" s="148"/>
      <c r="F172" s="142">
        <v>5</v>
      </c>
      <c r="G172" s="62">
        <f>E172*F172</f>
        <v>0</v>
      </c>
      <c r="H172" s="62"/>
      <c r="I172" s="144">
        <v>0.15</v>
      </c>
      <c r="J172" s="145">
        <f>I172*F172</f>
        <v>0.75</v>
      </c>
      <c r="K172" s="146"/>
      <c r="L172" s="147"/>
    </row>
    <row r="173" spans="1:14" x14ac:dyDescent="0.2">
      <c r="A173" s="58"/>
      <c r="B173" s="382"/>
      <c r="C173" s="422"/>
      <c r="D173" s="112"/>
      <c r="E173" s="158"/>
      <c r="F173" s="112"/>
      <c r="G173" s="61"/>
      <c r="H173" s="61"/>
      <c r="I173" s="63"/>
      <c r="J173" s="64"/>
      <c r="K173" s="146"/>
      <c r="L173" s="20"/>
      <c r="N173" s="9"/>
    </row>
    <row r="174" spans="1:14" x14ac:dyDescent="0.2">
      <c r="A174" s="58"/>
      <c r="B174" s="382" t="s">
        <v>18</v>
      </c>
      <c r="C174" s="422" t="s">
        <v>166</v>
      </c>
      <c r="D174" s="112" t="s">
        <v>39</v>
      </c>
      <c r="E174" s="158"/>
      <c r="F174" s="112">
        <v>0.1</v>
      </c>
      <c r="G174" s="61"/>
      <c r="H174" s="61"/>
      <c r="I174" s="63"/>
      <c r="J174" s="64"/>
      <c r="K174" s="146"/>
      <c r="L174" s="20"/>
      <c r="N174" s="9"/>
    </row>
    <row r="175" spans="1:14" x14ac:dyDescent="0.2">
      <c r="A175" s="58"/>
      <c r="B175" s="382">
        <v>184852322</v>
      </c>
      <c r="C175" s="422" t="s">
        <v>132</v>
      </c>
      <c r="D175" s="112" t="s">
        <v>31</v>
      </c>
      <c r="E175" s="159"/>
      <c r="F175" s="112">
        <f>F169</f>
        <v>16</v>
      </c>
      <c r="G175" s="61"/>
      <c r="H175" s="61">
        <f>E175*F175</f>
        <v>0</v>
      </c>
      <c r="I175" s="63"/>
      <c r="J175" s="64"/>
      <c r="K175" s="146"/>
      <c r="L175" s="20"/>
      <c r="N175" s="9"/>
    </row>
    <row r="176" spans="1:14" x14ac:dyDescent="0.2">
      <c r="A176" s="58"/>
      <c r="B176" s="382" t="s">
        <v>32</v>
      </c>
      <c r="C176" s="422" t="s">
        <v>133</v>
      </c>
      <c r="D176" s="112" t="s">
        <v>29</v>
      </c>
      <c r="E176" s="159"/>
      <c r="F176" s="112">
        <f>F169</f>
        <v>16</v>
      </c>
      <c r="G176" s="61"/>
      <c r="H176" s="61">
        <f>E176*F176</f>
        <v>0</v>
      </c>
      <c r="I176" s="63"/>
      <c r="J176" s="64"/>
      <c r="K176" s="146"/>
      <c r="L176" s="20"/>
      <c r="N176" s="9"/>
    </row>
    <row r="177" spans="1:14" ht="25.5" x14ac:dyDescent="0.2">
      <c r="A177" s="58"/>
      <c r="B177" s="382">
        <v>183101315</v>
      </c>
      <c r="C177" s="414" t="s">
        <v>156</v>
      </c>
      <c r="D177" s="112" t="s">
        <v>31</v>
      </c>
      <c r="E177" s="159"/>
      <c r="F177" s="131">
        <f>F169</f>
        <v>16</v>
      </c>
      <c r="G177" s="61"/>
      <c r="H177" s="61">
        <f>E177*F177</f>
        <v>0</v>
      </c>
      <c r="I177" s="63"/>
      <c r="J177" s="64"/>
      <c r="K177" s="146"/>
      <c r="L177" s="20"/>
      <c r="N177" s="9"/>
    </row>
    <row r="178" spans="1:14" ht="25.5" x14ac:dyDescent="0.2">
      <c r="A178" s="58"/>
      <c r="B178" s="382" t="s">
        <v>34</v>
      </c>
      <c r="C178" s="422" t="s">
        <v>157</v>
      </c>
      <c r="D178" s="112" t="s">
        <v>39</v>
      </c>
      <c r="E178" s="160"/>
      <c r="F178" s="161">
        <f>(0.244-0.066)*F169</f>
        <v>2.8479999999999999</v>
      </c>
      <c r="G178" s="61">
        <f>E178*F178</f>
        <v>0</v>
      </c>
      <c r="H178" s="61"/>
      <c r="I178" s="63"/>
      <c r="J178" s="64"/>
      <c r="K178" s="146"/>
      <c r="L178" s="20"/>
      <c r="N178" s="9"/>
    </row>
    <row r="179" spans="1:14" ht="25.5" x14ac:dyDescent="0.2">
      <c r="A179" s="58"/>
      <c r="B179" s="382" t="s">
        <v>34</v>
      </c>
      <c r="C179" s="422" t="s">
        <v>136</v>
      </c>
      <c r="D179" s="112" t="s">
        <v>39</v>
      </c>
      <c r="E179" s="148"/>
      <c r="F179" s="161">
        <f>0.28*F169</f>
        <v>4.4800000000000004</v>
      </c>
      <c r="G179" s="61">
        <f>E179*F179</f>
        <v>0</v>
      </c>
      <c r="H179" s="61"/>
      <c r="I179" s="63"/>
      <c r="J179" s="64"/>
      <c r="K179" s="146"/>
      <c r="L179" s="20"/>
      <c r="N179" s="9"/>
    </row>
    <row r="180" spans="1:14" x14ac:dyDescent="0.2">
      <c r="A180" s="58"/>
      <c r="B180" s="382" t="s">
        <v>34</v>
      </c>
      <c r="C180" s="422" t="s">
        <v>137</v>
      </c>
      <c r="D180" s="112" t="s">
        <v>29</v>
      </c>
      <c r="E180" s="141"/>
      <c r="F180" s="150">
        <f>F169*5</f>
        <v>80</v>
      </c>
      <c r="G180" s="61">
        <f>E180*F180</f>
        <v>0</v>
      </c>
      <c r="H180" s="61"/>
      <c r="I180" s="63"/>
      <c r="J180" s="64"/>
      <c r="K180" s="146"/>
      <c r="L180" s="20"/>
      <c r="N180" s="9"/>
    </row>
    <row r="181" spans="1:14" x14ac:dyDescent="0.2">
      <c r="A181" s="58"/>
      <c r="B181" s="377">
        <v>185802114</v>
      </c>
      <c r="C181" s="414" t="s">
        <v>138</v>
      </c>
      <c r="D181" s="10" t="s">
        <v>16</v>
      </c>
      <c r="E181" s="148"/>
      <c r="F181" s="151">
        <f>(F180/100000)</f>
        <v>8.0000000000000004E-4</v>
      </c>
      <c r="G181" s="62"/>
      <c r="H181" s="62">
        <f>E181*F181</f>
        <v>0</v>
      </c>
      <c r="I181" s="144"/>
      <c r="J181" s="64"/>
      <c r="K181" s="146"/>
      <c r="L181" s="20"/>
      <c r="N181" s="9"/>
    </row>
    <row r="182" spans="1:14" ht="25.5" x14ac:dyDescent="0.2">
      <c r="A182" s="58"/>
      <c r="B182" s="382" t="s">
        <v>32</v>
      </c>
      <c r="C182" s="414" t="s">
        <v>158</v>
      </c>
      <c r="D182" s="10" t="s">
        <v>29</v>
      </c>
      <c r="E182" s="148"/>
      <c r="F182" s="142">
        <f>F143</f>
        <v>23</v>
      </c>
      <c r="G182" s="62"/>
      <c r="H182" s="61">
        <f>E182*F182</f>
        <v>0</v>
      </c>
      <c r="I182" s="144"/>
      <c r="J182" s="64"/>
      <c r="K182" s="65"/>
      <c r="L182" s="8"/>
      <c r="N182" s="9"/>
    </row>
    <row r="183" spans="1:14" x14ac:dyDescent="0.2">
      <c r="A183" s="58"/>
      <c r="B183" s="382">
        <v>184102116</v>
      </c>
      <c r="C183" s="422" t="s">
        <v>159</v>
      </c>
      <c r="D183" s="112" t="s">
        <v>31</v>
      </c>
      <c r="E183" s="148"/>
      <c r="F183" s="131">
        <f>F177</f>
        <v>16</v>
      </c>
      <c r="G183" s="61"/>
      <c r="H183" s="61">
        <f>E183*F183</f>
        <v>0</v>
      </c>
      <c r="I183" s="63"/>
      <c r="J183" s="64"/>
      <c r="K183" s="146"/>
      <c r="N183" s="9"/>
    </row>
    <row r="184" spans="1:14" x14ac:dyDescent="0.2">
      <c r="A184" s="58"/>
      <c r="B184" s="382" t="s">
        <v>34</v>
      </c>
      <c r="C184" s="422" t="s">
        <v>160</v>
      </c>
      <c r="D184" s="112" t="s">
        <v>39</v>
      </c>
      <c r="E184" s="141"/>
      <c r="F184" s="132">
        <f>0.066*F169</f>
        <v>1.056</v>
      </c>
      <c r="G184" s="61"/>
      <c r="H184" s="61"/>
      <c r="I184" s="63"/>
      <c r="J184" s="64"/>
      <c r="K184" s="146"/>
      <c r="L184" s="8"/>
      <c r="N184" s="9"/>
    </row>
    <row r="185" spans="1:14" x14ac:dyDescent="0.2">
      <c r="A185" s="58"/>
      <c r="B185" s="382" t="s">
        <v>34</v>
      </c>
      <c r="C185" s="422" t="s">
        <v>141</v>
      </c>
      <c r="D185" s="112" t="s">
        <v>29</v>
      </c>
      <c r="E185" s="148"/>
      <c r="F185" s="131">
        <f>F169</f>
        <v>16</v>
      </c>
      <c r="G185" s="61">
        <f>E185*F185</f>
        <v>0</v>
      </c>
      <c r="H185" s="61"/>
      <c r="I185" s="63">
        <v>0.01</v>
      </c>
      <c r="J185" s="64">
        <f>I185*F185</f>
        <v>0.16</v>
      </c>
      <c r="K185" s="146"/>
      <c r="L185" s="20"/>
      <c r="N185" s="9"/>
    </row>
    <row r="186" spans="1:14" x14ac:dyDescent="0.2">
      <c r="A186" s="58"/>
      <c r="B186" s="382" t="s">
        <v>32</v>
      </c>
      <c r="C186" s="422" t="s">
        <v>142</v>
      </c>
      <c r="D186" s="112" t="s">
        <v>29</v>
      </c>
      <c r="E186" s="148"/>
      <c r="F186" s="131">
        <f>F169</f>
        <v>16</v>
      </c>
      <c r="G186" s="61"/>
      <c r="H186" s="61">
        <f t="shared" ref="H186:H191" si="3">E186*F186</f>
        <v>0</v>
      </c>
      <c r="I186" s="63"/>
      <c r="J186" s="64"/>
      <c r="K186" s="146"/>
      <c r="L186" s="20"/>
      <c r="N186" s="9"/>
    </row>
    <row r="187" spans="1:14" x14ac:dyDescent="0.2">
      <c r="A187" s="58"/>
      <c r="B187" s="382">
        <v>184215133</v>
      </c>
      <c r="C187" s="422" t="s">
        <v>143</v>
      </c>
      <c r="D187" s="112" t="s">
        <v>31</v>
      </c>
      <c r="E187" s="148"/>
      <c r="F187" s="59">
        <f>F169*0.08</f>
        <v>1.28</v>
      </c>
      <c r="G187" s="61"/>
      <c r="H187" s="61">
        <f t="shared" si="3"/>
        <v>0</v>
      </c>
      <c r="I187" s="63"/>
      <c r="J187" s="64"/>
      <c r="K187" s="146"/>
      <c r="L187" s="20"/>
      <c r="N187" s="9"/>
    </row>
    <row r="188" spans="1:14" x14ac:dyDescent="0.2">
      <c r="A188" s="58"/>
      <c r="B188" s="382">
        <v>185804311</v>
      </c>
      <c r="C188" s="422" t="s">
        <v>144</v>
      </c>
      <c r="D188" s="112" t="s">
        <v>39</v>
      </c>
      <c r="E188" s="149"/>
      <c r="F188" s="59">
        <f>F169*0.08</f>
        <v>1.28</v>
      </c>
      <c r="G188" s="61"/>
      <c r="H188" s="62">
        <f t="shared" si="3"/>
        <v>0</v>
      </c>
      <c r="I188" s="144"/>
      <c r="J188" s="64"/>
      <c r="K188" s="146"/>
      <c r="L188" s="20"/>
      <c r="N188" s="9"/>
    </row>
    <row r="189" spans="1:14" x14ac:dyDescent="0.2">
      <c r="A189" s="58"/>
      <c r="B189" s="382" t="s">
        <v>32</v>
      </c>
      <c r="C189" s="422" t="s">
        <v>145</v>
      </c>
      <c r="D189" s="112" t="s">
        <v>29</v>
      </c>
      <c r="E189" s="149"/>
      <c r="F189" s="112">
        <f>F169</f>
        <v>16</v>
      </c>
      <c r="G189" s="61"/>
      <c r="H189" s="62">
        <f t="shared" si="3"/>
        <v>0</v>
      </c>
      <c r="I189" s="144"/>
      <c r="J189" s="145"/>
      <c r="K189" s="146"/>
      <c r="L189" s="20"/>
      <c r="N189" s="9"/>
    </row>
    <row r="190" spans="1:14" s="9" customFormat="1" ht="12.75" x14ac:dyDescent="0.2">
      <c r="A190" s="58"/>
      <c r="B190" s="382">
        <v>184215413</v>
      </c>
      <c r="C190" s="422" t="s">
        <v>113</v>
      </c>
      <c r="D190" s="112" t="s">
        <v>31</v>
      </c>
      <c r="E190" s="149"/>
      <c r="F190" s="112">
        <f>F169</f>
        <v>16</v>
      </c>
      <c r="G190" s="61"/>
      <c r="H190" s="62">
        <f t="shared" si="3"/>
        <v>0</v>
      </c>
      <c r="I190" s="144"/>
      <c r="J190" s="145"/>
      <c r="K190" s="146"/>
      <c r="L190" s="27"/>
    </row>
    <row r="191" spans="1:14" x14ac:dyDescent="0.2">
      <c r="A191" s="58"/>
      <c r="B191" s="382">
        <v>184911421</v>
      </c>
      <c r="C191" s="422" t="s">
        <v>114</v>
      </c>
      <c r="D191" s="112" t="s">
        <v>66</v>
      </c>
      <c r="E191" s="149"/>
      <c r="F191" s="112">
        <f>(3.14*((0.8*0.8)/4))*F169</f>
        <v>8.0384000000000011</v>
      </c>
      <c r="G191" s="61"/>
      <c r="H191" s="61">
        <f t="shared" si="3"/>
        <v>0</v>
      </c>
      <c r="I191" s="63"/>
      <c r="J191" s="64"/>
      <c r="K191" s="146"/>
      <c r="L191" s="20"/>
      <c r="N191" s="9"/>
    </row>
    <row r="192" spans="1:14" x14ac:dyDescent="0.2">
      <c r="A192" s="58"/>
      <c r="B192" s="382" t="s">
        <v>18</v>
      </c>
      <c r="C192" s="422" t="s">
        <v>146</v>
      </c>
      <c r="D192" s="112" t="s">
        <v>39</v>
      </c>
      <c r="E192" s="162"/>
      <c r="F192" s="112">
        <f>F191*0.1</f>
        <v>0.80384000000000011</v>
      </c>
      <c r="G192" s="61">
        <f>E192*F192</f>
        <v>0</v>
      </c>
      <c r="H192" s="61"/>
      <c r="I192" s="144"/>
      <c r="J192" s="64">
        <f>I192*F192</f>
        <v>0</v>
      </c>
      <c r="K192" s="146"/>
      <c r="L192" s="20"/>
      <c r="N192" s="9"/>
    </row>
    <row r="193" spans="1:14" x14ac:dyDescent="0.2">
      <c r="A193" s="58"/>
      <c r="B193" s="385">
        <v>998231411</v>
      </c>
      <c r="C193" s="425" t="s">
        <v>94</v>
      </c>
      <c r="D193" s="164" t="s">
        <v>16</v>
      </c>
      <c r="E193" s="165"/>
      <c r="F193" s="166">
        <f>J193</f>
        <v>2.56</v>
      </c>
      <c r="G193" s="119"/>
      <c r="H193" s="119">
        <f>E193*F193</f>
        <v>0</v>
      </c>
      <c r="I193" s="136" t="s">
        <v>6</v>
      </c>
      <c r="J193" s="137">
        <f>SUM(J169:J192)</f>
        <v>2.56</v>
      </c>
      <c r="K193" s="167"/>
      <c r="L193" s="20"/>
      <c r="N193" s="9"/>
    </row>
    <row r="194" spans="1:14" x14ac:dyDescent="0.2">
      <c r="A194" s="58"/>
      <c r="B194" s="377"/>
      <c r="C194" s="417"/>
      <c r="D194" s="59"/>
      <c r="E194" s="60"/>
      <c r="F194" s="59"/>
      <c r="G194" s="61"/>
      <c r="H194" s="62"/>
      <c r="I194" s="63"/>
      <c r="J194" s="64"/>
      <c r="K194" s="65"/>
      <c r="L194" s="8"/>
      <c r="N194" s="9"/>
    </row>
    <row r="195" spans="1:14" s="28" customFormat="1" ht="25.5" x14ac:dyDescent="0.2">
      <c r="A195" s="22"/>
      <c r="B195" s="375" t="s">
        <v>18</v>
      </c>
      <c r="C195" s="412" t="s">
        <v>19</v>
      </c>
      <c r="D195" s="23"/>
      <c r="E195" s="23" t="s">
        <v>20</v>
      </c>
      <c r="F195" s="24"/>
      <c r="G195" s="25" t="s">
        <v>22</v>
      </c>
      <c r="H195" s="25" t="s">
        <v>23</v>
      </c>
      <c r="I195" s="26" t="s">
        <v>24</v>
      </c>
      <c r="J195" s="26" t="s">
        <v>25</v>
      </c>
      <c r="K195" s="25" t="s">
        <v>26</v>
      </c>
      <c r="L195" s="27"/>
      <c r="N195" s="9"/>
    </row>
    <row r="196" spans="1:14" x14ac:dyDescent="0.2">
      <c r="A196" s="58"/>
      <c r="B196" s="376" t="s">
        <v>167</v>
      </c>
      <c r="C196" s="413" t="s">
        <v>168</v>
      </c>
      <c r="D196" s="30" t="s">
        <v>29</v>
      </c>
      <c r="E196" s="139">
        <f>I196/F196</f>
        <v>0</v>
      </c>
      <c r="F196" s="168">
        <f>F197+F240+F219</f>
        <v>13</v>
      </c>
      <c r="G196" s="140">
        <f>SUM(G197:G272)</f>
        <v>0</v>
      </c>
      <c r="H196" s="140">
        <f>SUM(H197:H272)</f>
        <v>0</v>
      </c>
      <c r="I196" s="140">
        <f>H196+G196</f>
        <v>0</v>
      </c>
      <c r="J196" s="140">
        <f>I196/100*21</f>
        <v>0</v>
      </c>
      <c r="K196" s="34">
        <f>J196+I196</f>
        <v>0</v>
      </c>
      <c r="L196" s="20"/>
      <c r="N196" s="9"/>
    </row>
    <row r="197" spans="1:14" s="9" customFormat="1" ht="12.75" x14ac:dyDescent="0.2">
      <c r="A197" s="58"/>
      <c r="B197" s="377" t="s">
        <v>18</v>
      </c>
      <c r="C197" s="414" t="s">
        <v>169</v>
      </c>
      <c r="D197" s="169" t="s">
        <v>29</v>
      </c>
      <c r="E197" s="152"/>
      <c r="F197" s="142">
        <f>SUM(F198:F199)</f>
        <v>3</v>
      </c>
      <c r="G197" s="62"/>
      <c r="H197" s="62"/>
      <c r="I197" s="62"/>
      <c r="J197" s="62"/>
      <c r="K197" s="129"/>
      <c r="L197" s="147"/>
    </row>
    <row r="198" spans="1:14" s="9" customFormat="1" ht="12.75" x14ac:dyDescent="0.2">
      <c r="A198" s="58"/>
      <c r="B198" s="377" t="s">
        <v>148</v>
      </c>
      <c r="C198" s="423" t="s">
        <v>170</v>
      </c>
      <c r="D198" s="10" t="s">
        <v>29</v>
      </c>
      <c r="E198" s="148"/>
      <c r="F198" s="10">
        <v>2</v>
      </c>
      <c r="G198" s="62">
        <f>E198*F198</f>
        <v>0</v>
      </c>
      <c r="H198" s="62"/>
      <c r="I198" s="144">
        <v>0.1</v>
      </c>
      <c r="J198" s="145">
        <f>I198*F198</f>
        <v>0.2</v>
      </c>
      <c r="K198" s="146"/>
      <c r="L198" s="8"/>
    </row>
    <row r="199" spans="1:14" s="9" customFormat="1" ht="12.75" x14ac:dyDescent="0.2">
      <c r="A199" s="58"/>
      <c r="B199" s="377" t="s">
        <v>128</v>
      </c>
      <c r="C199" s="423" t="s">
        <v>171</v>
      </c>
      <c r="D199" s="10" t="s">
        <v>29</v>
      </c>
      <c r="E199" s="148"/>
      <c r="F199" s="10">
        <v>1</v>
      </c>
      <c r="G199" s="62">
        <f>E199*F199</f>
        <v>0</v>
      </c>
      <c r="H199" s="62"/>
      <c r="I199" s="144">
        <v>0.1</v>
      </c>
      <c r="J199" s="145">
        <f>I199*F199</f>
        <v>0.1</v>
      </c>
      <c r="K199" s="146"/>
      <c r="L199" s="8"/>
    </row>
    <row r="200" spans="1:14" ht="25.5" x14ac:dyDescent="0.2">
      <c r="A200" s="58"/>
      <c r="B200" s="382"/>
      <c r="C200" s="422" t="s">
        <v>682</v>
      </c>
      <c r="D200" s="112"/>
      <c r="E200" s="152"/>
      <c r="F200" s="112"/>
      <c r="G200" s="61">
        <f>E200*F200</f>
        <v>0</v>
      </c>
      <c r="H200" s="61"/>
      <c r="I200" s="63"/>
      <c r="J200" s="64"/>
      <c r="K200" s="146"/>
      <c r="L200" s="20"/>
      <c r="N200" s="9"/>
    </row>
    <row r="201" spans="1:14" ht="38.25" x14ac:dyDescent="0.2">
      <c r="A201" s="58"/>
      <c r="B201" s="382" t="s">
        <v>34</v>
      </c>
      <c r="C201" s="422" t="s">
        <v>172</v>
      </c>
      <c r="D201" s="112" t="s">
        <v>29</v>
      </c>
      <c r="E201" s="170"/>
      <c r="F201" s="131">
        <f>F197</f>
        <v>3</v>
      </c>
      <c r="G201" s="61">
        <f>E201*F201</f>
        <v>0</v>
      </c>
      <c r="H201" s="61"/>
      <c r="I201" s="63">
        <v>8.4999999999999995E-4</v>
      </c>
      <c r="J201" s="64">
        <f>I201*F201</f>
        <v>2.5499999999999997E-3</v>
      </c>
      <c r="K201" s="146"/>
      <c r="N201" s="9"/>
    </row>
    <row r="202" spans="1:14" x14ac:dyDescent="0.2">
      <c r="A202" s="58"/>
      <c r="B202" s="382"/>
      <c r="C202" s="422" t="s">
        <v>173</v>
      </c>
      <c r="D202" s="112" t="s">
        <v>29</v>
      </c>
      <c r="E202" s="170"/>
      <c r="F202" s="131">
        <f>F197</f>
        <v>3</v>
      </c>
      <c r="G202" s="61">
        <f>E202*F202</f>
        <v>0</v>
      </c>
      <c r="H202" s="61"/>
      <c r="I202" s="63">
        <v>2.9999999999999997E-4</v>
      </c>
      <c r="J202" s="64">
        <f>I202*F202</f>
        <v>8.9999999999999998E-4</v>
      </c>
      <c r="K202" s="146"/>
      <c r="N202" s="9"/>
    </row>
    <row r="203" spans="1:14" x14ac:dyDescent="0.2">
      <c r="A203" s="58"/>
      <c r="B203" s="382" t="s">
        <v>18</v>
      </c>
      <c r="C203" s="422" t="s">
        <v>155</v>
      </c>
      <c r="D203" s="112" t="s">
        <v>39</v>
      </c>
      <c r="E203" s="171"/>
      <c r="F203" s="132">
        <v>0.1</v>
      </c>
      <c r="G203" s="61"/>
      <c r="H203" s="61"/>
      <c r="I203" s="63"/>
      <c r="J203" s="64"/>
      <c r="K203" s="65"/>
      <c r="L203" s="20"/>
      <c r="N203" s="9"/>
    </row>
    <row r="204" spans="1:14" x14ac:dyDescent="0.2">
      <c r="A204" s="58"/>
      <c r="B204" s="382">
        <v>184852322</v>
      </c>
      <c r="C204" s="422" t="s">
        <v>132</v>
      </c>
      <c r="D204" s="112" t="s">
        <v>31</v>
      </c>
      <c r="E204" s="149"/>
      <c r="F204" s="131">
        <f>F198</f>
        <v>2</v>
      </c>
      <c r="G204" s="61"/>
      <c r="H204" s="61">
        <f>E204*F204</f>
        <v>0</v>
      </c>
      <c r="I204" s="63"/>
      <c r="J204" s="64"/>
      <c r="K204" s="146"/>
      <c r="L204" s="20"/>
      <c r="N204" s="9"/>
    </row>
    <row r="205" spans="1:14" x14ac:dyDescent="0.2">
      <c r="A205" s="58"/>
      <c r="B205" s="382" t="s">
        <v>32</v>
      </c>
      <c r="C205" s="422" t="s">
        <v>133</v>
      </c>
      <c r="D205" s="112" t="s">
        <v>29</v>
      </c>
      <c r="E205" s="171"/>
      <c r="F205" s="131">
        <f>F197</f>
        <v>3</v>
      </c>
      <c r="G205" s="61"/>
      <c r="H205" s="61">
        <f>E205*F205</f>
        <v>0</v>
      </c>
      <c r="I205" s="63"/>
      <c r="J205" s="64"/>
      <c r="K205" s="65"/>
      <c r="L205" s="20"/>
      <c r="N205" s="9"/>
    </row>
    <row r="206" spans="1:14" ht="25.5" x14ac:dyDescent="0.2">
      <c r="A206" s="58"/>
      <c r="B206" s="382">
        <v>183101315</v>
      </c>
      <c r="C206" s="414" t="s">
        <v>156</v>
      </c>
      <c r="D206" s="112" t="s">
        <v>31</v>
      </c>
      <c r="E206" s="172"/>
      <c r="F206" s="131">
        <f>F197</f>
        <v>3</v>
      </c>
      <c r="G206" s="61"/>
      <c r="H206" s="61">
        <f>E206*F206</f>
        <v>0</v>
      </c>
      <c r="I206" s="63"/>
      <c r="J206" s="64"/>
      <c r="K206" s="65"/>
      <c r="L206" s="20"/>
      <c r="N206" s="9"/>
    </row>
    <row r="207" spans="1:14" ht="25.5" x14ac:dyDescent="0.2">
      <c r="A207" s="58"/>
      <c r="B207" s="382" t="s">
        <v>34</v>
      </c>
      <c r="C207" s="422" t="s">
        <v>157</v>
      </c>
      <c r="D207" s="112" t="s">
        <v>39</v>
      </c>
      <c r="E207" s="171"/>
      <c r="F207" s="161">
        <f>(0.244-0.066)*F197</f>
        <v>0.53400000000000003</v>
      </c>
      <c r="G207" s="61">
        <f>E207*F207</f>
        <v>0</v>
      </c>
      <c r="H207" s="61"/>
      <c r="I207" s="63"/>
      <c r="J207" s="64"/>
      <c r="K207" s="65"/>
      <c r="L207" s="20"/>
      <c r="N207" s="9"/>
    </row>
    <row r="208" spans="1:14" ht="25.5" x14ac:dyDescent="0.2">
      <c r="A208" s="58"/>
      <c r="B208" s="382" t="s">
        <v>34</v>
      </c>
      <c r="C208" s="422" t="s">
        <v>174</v>
      </c>
      <c r="D208" s="112" t="s">
        <v>39</v>
      </c>
      <c r="E208" s="171"/>
      <c r="F208" s="161">
        <f>0.28*F197</f>
        <v>0.84000000000000008</v>
      </c>
      <c r="G208" s="61">
        <f>E208*F208</f>
        <v>0</v>
      </c>
      <c r="H208" s="61"/>
      <c r="I208" s="63"/>
      <c r="J208" s="64"/>
      <c r="K208" s="65"/>
      <c r="L208" s="20"/>
      <c r="N208" s="9"/>
    </row>
    <row r="209" spans="1:14" x14ac:dyDescent="0.2">
      <c r="A209" s="58"/>
      <c r="B209" s="382" t="s">
        <v>34</v>
      </c>
      <c r="C209" s="422" t="s">
        <v>137</v>
      </c>
      <c r="D209" s="112" t="s">
        <v>29</v>
      </c>
      <c r="E209" s="141"/>
      <c r="F209" s="150">
        <f>F197*5</f>
        <v>15</v>
      </c>
      <c r="G209" s="61">
        <f>E209*F209</f>
        <v>0</v>
      </c>
      <c r="H209" s="61"/>
      <c r="I209" s="63"/>
      <c r="J209" s="64"/>
      <c r="K209" s="65"/>
      <c r="L209" s="20"/>
      <c r="N209" s="9"/>
    </row>
    <row r="210" spans="1:14" x14ac:dyDescent="0.2">
      <c r="A210" s="58"/>
      <c r="B210" s="377">
        <v>185802114</v>
      </c>
      <c r="C210" s="414" t="s">
        <v>138</v>
      </c>
      <c r="D210" s="10" t="s">
        <v>16</v>
      </c>
      <c r="E210" s="148"/>
      <c r="F210" s="151">
        <f>(F209/100000)</f>
        <v>1.4999999999999999E-4</v>
      </c>
      <c r="G210" s="62"/>
      <c r="H210" s="62">
        <f t="shared" ref="H210:H215" si="4">E210*F210</f>
        <v>0</v>
      </c>
      <c r="I210" s="144"/>
      <c r="J210" s="64"/>
      <c r="K210" s="65"/>
      <c r="L210" s="20"/>
      <c r="N210" s="9"/>
    </row>
    <row r="211" spans="1:14" ht="25.5" x14ac:dyDescent="0.2">
      <c r="A211" s="58"/>
      <c r="B211" s="382" t="s">
        <v>32</v>
      </c>
      <c r="C211" s="414" t="s">
        <v>158</v>
      </c>
      <c r="D211" s="10" t="s">
        <v>29</v>
      </c>
      <c r="E211" s="148"/>
      <c r="F211" s="142">
        <f>F197</f>
        <v>3</v>
      </c>
      <c r="G211" s="62"/>
      <c r="H211" s="61">
        <f t="shared" si="4"/>
        <v>0</v>
      </c>
      <c r="I211" s="144"/>
      <c r="J211" s="64"/>
      <c r="K211" s="65"/>
      <c r="L211" s="8"/>
      <c r="N211" s="9"/>
    </row>
    <row r="212" spans="1:14" x14ac:dyDescent="0.2">
      <c r="A212" s="58"/>
      <c r="B212" s="382">
        <v>184102116</v>
      </c>
      <c r="C212" s="422" t="s">
        <v>159</v>
      </c>
      <c r="D212" s="112" t="s">
        <v>31</v>
      </c>
      <c r="E212" s="173"/>
      <c r="F212" s="131">
        <f>F197</f>
        <v>3</v>
      </c>
      <c r="G212" s="61"/>
      <c r="H212" s="61">
        <f t="shared" si="4"/>
        <v>0</v>
      </c>
      <c r="I212" s="63"/>
      <c r="J212" s="64"/>
      <c r="K212" s="65"/>
      <c r="L212" s="20"/>
      <c r="N212" s="9"/>
    </row>
    <row r="213" spans="1:14" ht="25.5" x14ac:dyDescent="0.2">
      <c r="A213" s="58"/>
      <c r="B213" s="377">
        <v>184215211</v>
      </c>
      <c r="C213" s="414" t="s">
        <v>175</v>
      </c>
      <c r="D213" s="10" t="s">
        <v>31</v>
      </c>
      <c r="E213" s="148"/>
      <c r="F213" s="142">
        <f>F197</f>
        <v>3</v>
      </c>
      <c r="G213" s="62"/>
      <c r="H213" s="62">
        <f t="shared" si="4"/>
        <v>0</v>
      </c>
      <c r="I213" s="144"/>
      <c r="J213" s="64"/>
      <c r="K213" s="65"/>
      <c r="L213" s="20"/>
    </row>
    <row r="214" spans="1:14" x14ac:dyDescent="0.2">
      <c r="A214" s="58"/>
      <c r="B214" s="382">
        <v>185804311</v>
      </c>
      <c r="C214" s="422" t="s">
        <v>144</v>
      </c>
      <c r="D214" s="112" t="s">
        <v>39</v>
      </c>
      <c r="E214" s="149"/>
      <c r="F214" s="59">
        <f>F197*0.15</f>
        <v>0.44999999999999996</v>
      </c>
      <c r="G214" s="61"/>
      <c r="H214" s="62">
        <f t="shared" si="4"/>
        <v>0</v>
      </c>
      <c r="I214" s="144"/>
      <c r="J214" s="64"/>
      <c r="K214" s="146"/>
      <c r="L214" s="20"/>
      <c r="N214" s="403"/>
    </row>
    <row r="215" spans="1:14" x14ac:dyDescent="0.2">
      <c r="A215" s="58"/>
      <c r="B215" s="382" t="s">
        <v>32</v>
      </c>
      <c r="C215" s="422" t="s">
        <v>145</v>
      </c>
      <c r="D215" s="112" t="s">
        <v>29</v>
      </c>
      <c r="E215" s="149"/>
      <c r="F215" s="131">
        <f>F197</f>
        <v>3</v>
      </c>
      <c r="G215" s="61"/>
      <c r="H215" s="62">
        <f t="shared" si="4"/>
        <v>0</v>
      </c>
      <c r="I215" s="144"/>
      <c r="J215" s="145"/>
      <c r="K215" s="146"/>
      <c r="L215" s="20"/>
      <c r="N215" s="403"/>
    </row>
    <row r="216" spans="1:14" ht="25.5" x14ac:dyDescent="0.2">
      <c r="A216" s="58"/>
      <c r="B216" s="382" t="s">
        <v>18</v>
      </c>
      <c r="C216" s="422" t="s">
        <v>683</v>
      </c>
      <c r="D216" s="112"/>
      <c r="E216" s="152"/>
      <c r="F216" s="112"/>
      <c r="G216" s="61"/>
      <c r="H216" s="62"/>
      <c r="I216" s="144"/>
      <c r="J216" s="145"/>
      <c r="K216" s="146"/>
      <c r="N216" s="403"/>
    </row>
    <row r="217" spans="1:14" x14ac:dyDescent="0.2">
      <c r="A217" s="58"/>
      <c r="B217" s="385">
        <v>998231411</v>
      </c>
      <c r="C217" s="425" t="s">
        <v>94</v>
      </c>
      <c r="D217" s="164" t="s">
        <v>16</v>
      </c>
      <c r="E217" s="117"/>
      <c r="F217" s="166">
        <f>J217</f>
        <v>0.30345000000000005</v>
      </c>
      <c r="G217" s="119"/>
      <c r="H217" s="119">
        <f>E217*F217</f>
        <v>0</v>
      </c>
      <c r="I217" s="136" t="s">
        <v>6</v>
      </c>
      <c r="J217" s="137">
        <f>SUM(J197:J216)</f>
        <v>0.30345000000000005</v>
      </c>
      <c r="K217" s="167"/>
      <c r="L217" s="8"/>
      <c r="N217" s="403"/>
    </row>
    <row r="218" spans="1:14" s="9" customFormat="1" ht="12.75" x14ac:dyDescent="0.2">
      <c r="A218" s="58"/>
      <c r="B218" s="377"/>
      <c r="C218" s="414"/>
      <c r="D218" s="18"/>
      <c r="E218" s="174"/>
      <c r="F218" s="18"/>
      <c r="G218" s="62"/>
      <c r="H218" s="62"/>
      <c r="I218" s="62"/>
      <c r="J218" s="62"/>
      <c r="K218" s="129"/>
      <c r="L218" s="147"/>
      <c r="N218" s="404"/>
    </row>
    <row r="219" spans="1:14" x14ac:dyDescent="0.2">
      <c r="A219" s="58"/>
      <c r="B219" s="382" t="s">
        <v>18</v>
      </c>
      <c r="C219" s="422" t="s">
        <v>161</v>
      </c>
      <c r="D219" s="112" t="s">
        <v>29</v>
      </c>
      <c r="E219" s="162"/>
      <c r="F219" s="10">
        <f>SUM(F220)</f>
        <v>4</v>
      </c>
      <c r="G219" s="61"/>
      <c r="H219" s="61"/>
      <c r="I219" s="63"/>
      <c r="J219" s="64"/>
      <c r="K219" s="146"/>
      <c r="L219" s="20"/>
      <c r="N219" s="405"/>
    </row>
    <row r="220" spans="1:14" s="9" customFormat="1" ht="12.75" x14ac:dyDescent="0.2">
      <c r="A220" s="58"/>
      <c r="B220" s="377" t="s">
        <v>162</v>
      </c>
      <c r="C220" s="423" t="s">
        <v>176</v>
      </c>
      <c r="D220" s="10" t="s">
        <v>29</v>
      </c>
      <c r="E220" s="148"/>
      <c r="F220" s="10">
        <v>4</v>
      </c>
      <c r="G220" s="62">
        <f>E220*F220</f>
        <v>0</v>
      </c>
      <c r="H220" s="62"/>
      <c r="I220" s="144">
        <v>0.15</v>
      </c>
      <c r="J220" s="145">
        <f>I220*F198</f>
        <v>0.3</v>
      </c>
      <c r="K220" s="146"/>
      <c r="L220" s="8"/>
      <c r="N220" s="406"/>
    </row>
    <row r="221" spans="1:14" ht="25.5" x14ac:dyDescent="0.2">
      <c r="A221" s="58"/>
      <c r="B221" s="382"/>
      <c r="C221" s="422" t="s">
        <v>684</v>
      </c>
      <c r="D221" s="112"/>
      <c r="E221" s="152"/>
      <c r="F221" s="112"/>
      <c r="G221" s="61">
        <f>E221*F221</f>
        <v>0</v>
      </c>
      <c r="H221" s="61"/>
      <c r="I221" s="63"/>
      <c r="J221" s="64">
        <f>I221*F221</f>
        <v>0</v>
      </c>
      <c r="K221" s="146"/>
      <c r="L221" s="20"/>
      <c r="N221" s="406"/>
    </row>
    <row r="222" spans="1:14" ht="38.25" x14ac:dyDescent="0.2">
      <c r="A222" s="58"/>
      <c r="B222" s="382" t="s">
        <v>34</v>
      </c>
      <c r="C222" s="422" t="s">
        <v>172</v>
      </c>
      <c r="D222" s="112" t="s">
        <v>29</v>
      </c>
      <c r="E222" s="149"/>
      <c r="F222" s="131">
        <f>F219</f>
        <v>4</v>
      </c>
      <c r="G222" s="61">
        <f>E222*F222</f>
        <v>0</v>
      </c>
      <c r="H222" s="61"/>
      <c r="I222" s="63">
        <v>8.4999999999999995E-4</v>
      </c>
      <c r="J222" s="64">
        <f>I222*F222</f>
        <v>3.3999999999999998E-3</v>
      </c>
      <c r="K222" s="146"/>
      <c r="L222" s="20"/>
      <c r="N222" s="9"/>
    </row>
    <row r="223" spans="1:14" x14ac:dyDescent="0.2">
      <c r="A223" s="58"/>
      <c r="B223" s="382"/>
      <c r="C223" s="422" t="s">
        <v>173</v>
      </c>
      <c r="D223" s="112" t="s">
        <v>29</v>
      </c>
      <c r="E223" s="149"/>
      <c r="F223" s="131">
        <f>F219</f>
        <v>4</v>
      </c>
      <c r="G223" s="61">
        <f>E223*F223</f>
        <v>0</v>
      </c>
      <c r="H223" s="61"/>
      <c r="I223" s="63">
        <v>2.9999999999999997E-4</v>
      </c>
      <c r="J223" s="64">
        <f>I223*F223</f>
        <v>1.1999999999999999E-3</v>
      </c>
      <c r="K223" s="146"/>
      <c r="L223" s="20"/>
      <c r="N223" s="9"/>
    </row>
    <row r="224" spans="1:14" x14ac:dyDescent="0.2">
      <c r="A224" s="58"/>
      <c r="B224" s="382" t="s">
        <v>18</v>
      </c>
      <c r="C224" s="422" t="s">
        <v>177</v>
      </c>
      <c r="D224" s="112" t="s">
        <v>39</v>
      </c>
      <c r="E224" s="149"/>
      <c r="F224" s="112">
        <v>0.1</v>
      </c>
      <c r="G224" s="61"/>
      <c r="H224" s="61"/>
      <c r="I224" s="63"/>
      <c r="J224" s="64"/>
      <c r="K224" s="146"/>
      <c r="L224" s="20"/>
      <c r="N224" s="9"/>
    </row>
    <row r="225" spans="1:14" x14ac:dyDescent="0.2">
      <c r="A225" s="58"/>
      <c r="B225" s="382">
        <v>184852322</v>
      </c>
      <c r="C225" s="422" t="s">
        <v>132</v>
      </c>
      <c r="D225" s="112" t="s">
        <v>31</v>
      </c>
      <c r="E225" s="149"/>
      <c r="F225" s="131">
        <f>F219</f>
        <v>4</v>
      </c>
      <c r="G225" s="61"/>
      <c r="H225" s="61">
        <f>E225*F225</f>
        <v>0</v>
      </c>
      <c r="I225" s="63"/>
      <c r="J225" s="64"/>
      <c r="K225" s="146"/>
      <c r="L225" s="20"/>
      <c r="N225" s="9"/>
    </row>
    <row r="226" spans="1:14" x14ac:dyDescent="0.2">
      <c r="A226" s="58"/>
      <c r="B226" s="382" t="s">
        <v>32</v>
      </c>
      <c r="C226" s="422" t="s">
        <v>133</v>
      </c>
      <c r="D226" s="112" t="s">
        <v>29</v>
      </c>
      <c r="E226" s="149"/>
      <c r="F226" s="131">
        <f>F219</f>
        <v>4</v>
      </c>
      <c r="G226" s="61"/>
      <c r="H226" s="61">
        <f>E226*F226</f>
        <v>0</v>
      </c>
      <c r="I226" s="63"/>
      <c r="J226" s="64"/>
      <c r="K226" s="146"/>
      <c r="L226" s="20"/>
      <c r="N226" s="9"/>
    </row>
    <row r="227" spans="1:14" ht="25.5" x14ac:dyDescent="0.2">
      <c r="A227" s="58"/>
      <c r="B227" s="382">
        <v>183101315</v>
      </c>
      <c r="C227" s="414" t="s">
        <v>156</v>
      </c>
      <c r="D227" s="112" t="s">
        <v>31</v>
      </c>
      <c r="E227" s="149"/>
      <c r="F227" s="131">
        <f>F219</f>
        <v>4</v>
      </c>
      <c r="G227" s="61"/>
      <c r="H227" s="61">
        <f>E227*F227</f>
        <v>0</v>
      </c>
      <c r="I227" s="63"/>
      <c r="J227" s="64"/>
      <c r="K227" s="146"/>
      <c r="L227" s="20"/>
      <c r="N227" s="9"/>
    </row>
    <row r="228" spans="1:14" x14ac:dyDescent="0.2">
      <c r="A228" s="58"/>
      <c r="B228" s="382" t="s">
        <v>34</v>
      </c>
      <c r="C228" s="422" t="s">
        <v>178</v>
      </c>
      <c r="D228" s="112" t="s">
        <v>39</v>
      </c>
      <c r="E228" s="148"/>
      <c r="F228" s="161">
        <f>(0.244)*F219</f>
        <v>0.97599999999999998</v>
      </c>
      <c r="G228" s="61">
        <f>E228*F228</f>
        <v>0</v>
      </c>
      <c r="H228" s="61"/>
      <c r="I228" s="63"/>
      <c r="J228" s="64"/>
      <c r="K228" s="146"/>
      <c r="L228" s="20"/>
      <c r="N228" s="9"/>
    </row>
    <row r="229" spans="1:14" ht="25.5" x14ac:dyDescent="0.2">
      <c r="A229" s="58"/>
      <c r="B229" s="382" t="s">
        <v>34</v>
      </c>
      <c r="C229" s="422" t="s">
        <v>174</v>
      </c>
      <c r="D229" s="112" t="s">
        <v>39</v>
      </c>
      <c r="E229" s="148"/>
      <c r="F229" s="161">
        <f>0.28*F219</f>
        <v>1.1200000000000001</v>
      </c>
      <c r="G229" s="61">
        <f>E229*F229</f>
        <v>0</v>
      </c>
      <c r="H229" s="61"/>
      <c r="I229" s="63"/>
      <c r="J229" s="64"/>
      <c r="K229" s="146"/>
      <c r="L229" s="20"/>
      <c r="N229" s="9"/>
    </row>
    <row r="230" spans="1:14" x14ac:dyDescent="0.2">
      <c r="A230" s="58"/>
      <c r="B230" s="382" t="s">
        <v>34</v>
      </c>
      <c r="C230" s="422" t="s">
        <v>137</v>
      </c>
      <c r="D230" s="112" t="s">
        <v>29</v>
      </c>
      <c r="E230" s="141"/>
      <c r="F230" s="150">
        <f>F219*5</f>
        <v>20</v>
      </c>
      <c r="G230" s="61">
        <f>E230*F230</f>
        <v>0</v>
      </c>
      <c r="H230" s="61"/>
      <c r="I230" s="63"/>
      <c r="J230" s="64"/>
      <c r="K230" s="146"/>
      <c r="L230" s="20"/>
      <c r="N230" s="9"/>
    </row>
    <row r="231" spans="1:14" x14ac:dyDescent="0.2">
      <c r="A231" s="58"/>
      <c r="B231" s="377">
        <v>185802114</v>
      </c>
      <c r="C231" s="414" t="s">
        <v>138</v>
      </c>
      <c r="D231" s="10" t="s">
        <v>16</v>
      </c>
      <c r="E231" s="148"/>
      <c r="F231" s="151">
        <f>(F230/100000)</f>
        <v>2.0000000000000001E-4</v>
      </c>
      <c r="G231" s="62"/>
      <c r="H231" s="62">
        <f t="shared" ref="H231:H236" si="5">E231*F231</f>
        <v>0</v>
      </c>
      <c r="I231" s="144"/>
      <c r="J231" s="64"/>
      <c r="K231" s="146"/>
      <c r="L231" s="20"/>
      <c r="N231" s="9"/>
    </row>
    <row r="232" spans="1:14" ht="25.5" x14ac:dyDescent="0.2">
      <c r="A232" s="58"/>
      <c r="B232" s="382" t="s">
        <v>32</v>
      </c>
      <c r="C232" s="414" t="s">
        <v>158</v>
      </c>
      <c r="D232" s="10" t="s">
        <v>29</v>
      </c>
      <c r="E232" s="148"/>
      <c r="F232" s="142">
        <f>F219</f>
        <v>4</v>
      </c>
      <c r="G232" s="62"/>
      <c r="H232" s="61">
        <f t="shared" si="5"/>
        <v>0</v>
      </c>
      <c r="I232" s="144"/>
      <c r="J232" s="64"/>
      <c r="K232" s="65"/>
      <c r="L232" s="8"/>
      <c r="N232" s="9"/>
    </row>
    <row r="233" spans="1:14" x14ac:dyDescent="0.2">
      <c r="A233" s="58"/>
      <c r="B233" s="382">
        <v>184102116</v>
      </c>
      <c r="C233" s="422" t="s">
        <v>159</v>
      </c>
      <c r="D233" s="112" t="s">
        <v>31</v>
      </c>
      <c r="E233" s="141"/>
      <c r="F233" s="131">
        <f>F219</f>
        <v>4</v>
      </c>
      <c r="G233" s="61"/>
      <c r="H233" s="61">
        <f t="shared" si="5"/>
        <v>0</v>
      </c>
      <c r="I233" s="63"/>
      <c r="J233" s="64"/>
      <c r="K233" s="146"/>
      <c r="L233" s="20"/>
      <c r="N233" s="9"/>
    </row>
    <row r="234" spans="1:14" ht="25.5" x14ac:dyDescent="0.2">
      <c r="A234" s="58"/>
      <c r="B234" s="382">
        <v>184215212</v>
      </c>
      <c r="C234" s="422" t="s">
        <v>179</v>
      </c>
      <c r="D234" s="112" t="s">
        <v>31</v>
      </c>
      <c r="E234" s="141"/>
      <c r="F234" s="142">
        <f>F219</f>
        <v>4</v>
      </c>
      <c r="G234" s="61"/>
      <c r="H234" s="61">
        <f t="shared" si="5"/>
        <v>0</v>
      </c>
      <c r="I234" s="63"/>
      <c r="J234" s="64"/>
      <c r="K234" s="146"/>
      <c r="L234" s="20"/>
      <c r="N234" s="9"/>
    </row>
    <row r="235" spans="1:14" x14ac:dyDescent="0.2">
      <c r="A235" s="58"/>
      <c r="B235" s="382">
        <v>185804311</v>
      </c>
      <c r="C235" s="422" t="s">
        <v>144</v>
      </c>
      <c r="D235" s="112" t="s">
        <v>39</v>
      </c>
      <c r="E235" s="149"/>
      <c r="F235" s="59">
        <f>F219*0.15</f>
        <v>0.6</v>
      </c>
      <c r="G235" s="61"/>
      <c r="H235" s="62">
        <f t="shared" si="5"/>
        <v>0</v>
      </c>
      <c r="I235" s="144"/>
      <c r="J235" s="64"/>
      <c r="K235" s="146"/>
      <c r="L235" s="20"/>
      <c r="N235" s="9"/>
    </row>
    <row r="236" spans="1:14" x14ac:dyDescent="0.2">
      <c r="A236" s="58"/>
      <c r="B236" s="382" t="s">
        <v>32</v>
      </c>
      <c r="C236" s="422" t="s">
        <v>145</v>
      </c>
      <c r="D236" s="112" t="s">
        <v>29</v>
      </c>
      <c r="E236" s="149"/>
      <c r="F236" s="131">
        <f>F219</f>
        <v>4</v>
      </c>
      <c r="G236" s="61"/>
      <c r="H236" s="62">
        <f t="shared" si="5"/>
        <v>0</v>
      </c>
      <c r="I236" s="144"/>
      <c r="J236" s="145"/>
      <c r="K236" s="146"/>
      <c r="L236" s="20"/>
      <c r="N236" s="9"/>
    </row>
    <row r="237" spans="1:14" ht="25.5" x14ac:dyDescent="0.2">
      <c r="A237" s="58"/>
      <c r="B237" s="382" t="s">
        <v>18</v>
      </c>
      <c r="C237" s="422" t="s">
        <v>683</v>
      </c>
      <c r="D237" s="112"/>
      <c r="E237" s="152"/>
      <c r="F237" s="131">
        <f>F219</f>
        <v>4</v>
      </c>
      <c r="G237" s="61"/>
      <c r="H237" s="62"/>
      <c r="I237" s="144"/>
      <c r="J237" s="145"/>
      <c r="K237" s="146"/>
      <c r="L237" s="20"/>
      <c r="N237" s="9"/>
    </row>
    <row r="238" spans="1:14" x14ac:dyDescent="0.2">
      <c r="A238" s="58"/>
      <c r="B238" s="385">
        <v>998231411</v>
      </c>
      <c r="C238" s="425" t="s">
        <v>94</v>
      </c>
      <c r="D238" s="164" t="s">
        <v>16</v>
      </c>
      <c r="E238" s="117"/>
      <c r="F238" s="166">
        <f>J238</f>
        <v>0.30459999999999998</v>
      </c>
      <c r="G238" s="119"/>
      <c r="H238" s="119">
        <f>E238*F238</f>
        <v>0</v>
      </c>
      <c r="I238" s="136" t="s">
        <v>6</v>
      </c>
      <c r="J238" s="137">
        <f>SUM(J219:J237)</f>
        <v>0.30459999999999998</v>
      </c>
      <c r="K238" s="167"/>
      <c r="L238" s="20"/>
      <c r="N238" s="9"/>
    </row>
    <row r="239" spans="1:14" x14ac:dyDescent="0.2">
      <c r="A239" s="58"/>
      <c r="B239" s="377"/>
      <c r="C239" s="414"/>
      <c r="D239" s="59"/>
      <c r="E239" s="60"/>
      <c r="F239" s="59"/>
      <c r="G239" s="61"/>
      <c r="H239" s="62"/>
      <c r="I239" s="63"/>
      <c r="J239" s="64"/>
      <c r="K239" s="65"/>
      <c r="L239" s="20"/>
      <c r="N239" s="9"/>
    </row>
    <row r="240" spans="1:14" x14ac:dyDescent="0.2">
      <c r="A240" s="58"/>
      <c r="B240" s="382" t="s">
        <v>180</v>
      </c>
      <c r="C240" s="422" t="s">
        <v>181</v>
      </c>
      <c r="D240" s="112" t="s">
        <v>29</v>
      </c>
      <c r="E240" s="152"/>
      <c r="F240" s="131">
        <f>SUM(F241:F243)</f>
        <v>6</v>
      </c>
      <c r="G240" s="61"/>
      <c r="H240" s="61"/>
      <c r="I240" s="63"/>
      <c r="J240" s="64"/>
      <c r="K240" s="146"/>
      <c r="L240" s="20"/>
      <c r="N240" s="9"/>
    </row>
    <row r="241" spans="1:14" s="9" customFormat="1" ht="12.75" x14ac:dyDescent="0.2">
      <c r="A241" s="58"/>
      <c r="B241" s="377" t="s">
        <v>34</v>
      </c>
      <c r="C241" s="423" t="s">
        <v>182</v>
      </c>
      <c r="D241" s="10" t="s">
        <v>29</v>
      </c>
      <c r="E241" s="148"/>
      <c r="F241" s="10"/>
      <c r="G241" s="62"/>
      <c r="H241" s="62"/>
      <c r="I241" s="144"/>
      <c r="J241" s="145"/>
      <c r="K241" s="146"/>
      <c r="L241" s="8"/>
    </row>
    <row r="242" spans="1:14" s="9" customFormat="1" ht="12.75" x14ac:dyDescent="0.2">
      <c r="A242" s="58"/>
      <c r="B242" s="377" t="s">
        <v>183</v>
      </c>
      <c r="C242" s="423" t="s">
        <v>184</v>
      </c>
      <c r="D242" s="10" t="s">
        <v>29</v>
      </c>
      <c r="E242" s="148"/>
      <c r="F242" s="10">
        <v>2</v>
      </c>
      <c r="G242" s="62"/>
      <c r="H242" s="62"/>
      <c r="I242" s="144">
        <v>0.18</v>
      </c>
      <c r="J242" s="145">
        <f>I242*F242</f>
        <v>0.36</v>
      </c>
      <c r="K242" s="146"/>
      <c r="L242" s="8"/>
    </row>
    <row r="243" spans="1:14" s="9" customFormat="1" ht="12.75" x14ac:dyDescent="0.2">
      <c r="A243" s="58"/>
      <c r="B243" s="377" t="s">
        <v>183</v>
      </c>
      <c r="C243" s="423" t="s">
        <v>185</v>
      </c>
      <c r="D243" s="10" t="s">
        <v>29</v>
      </c>
      <c r="E243" s="148"/>
      <c r="F243" s="10">
        <v>4</v>
      </c>
      <c r="G243" s="62"/>
      <c r="H243" s="62"/>
      <c r="I243" s="144">
        <v>0.18</v>
      </c>
      <c r="J243" s="145">
        <f>I243*F243</f>
        <v>0.72</v>
      </c>
      <c r="K243" s="146"/>
      <c r="L243" s="8"/>
    </row>
    <row r="244" spans="1:14" ht="25.5" x14ac:dyDescent="0.2">
      <c r="A244" s="58"/>
      <c r="B244" s="382"/>
      <c r="C244" s="422" t="s">
        <v>685</v>
      </c>
      <c r="D244" s="112"/>
      <c r="E244" s="152"/>
      <c r="F244" s="112"/>
      <c r="G244" s="61"/>
      <c r="H244" s="61"/>
      <c r="I244" s="63"/>
      <c r="J244" s="64"/>
      <c r="K244" s="146"/>
      <c r="L244" s="20"/>
      <c r="N244" s="9"/>
    </row>
    <row r="245" spans="1:14" ht="38.25" x14ac:dyDescent="0.2">
      <c r="A245" s="58"/>
      <c r="B245" s="382" t="s">
        <v>34</v>
      </c>
      <c r="C245" s="422" t="s">
        <v>172</v>
      </c>
      <c r="D245" s="112" t="s">
        <v>29</v>
      </c>
      <c r="E245" s="149"/>
      <c r="F245" s="131">
        <f>F240</f>
        <v>6</v>
      </c>
      <c r="G245" s="61">
        <f>E245*F245</f>
        <v>0</v>
      </c>
      <c r="H245" s="61"/>
      <c r="I245" s="63">
        <v>8.4999999999999995E-4</v>
      </c>
      <c r="J245" s="64">
        <f>I245*F245</f>
        <v>5.0999999999999995E-3</v>
      </c>
      <c r="K245" s="146"/>
      <c r="L245" s="20"/>
      <c r="N245" s="9"/>
    </row>
    <row r="246" spans="1:14" x14ac:dyDescent="0.2">
      <c r="A246" s="58"/>
      <c r="B246" s="382"/>
      <c r="C246" s="422"/>
      <c r="D246" s="112"/>
      <c r="E246" s="149"/>
      <c r="F246" s="112"/>
      <c r="G246" s="61"/>
      <c r="H246" s="61"/>
      <c r="I246" s="63"/>
      <c r="J246" s="64"/>
      <c r="K246" s="146"/>
      <c r="N246" s="9"/>
    </row>
    <row r="247" spans="1:14" x14ac:dyDescent="0.2">
      <c r="A247" s="58"/>
      <c r="B247" s="382"/>
      <c r="C247" s="422" t="s">
        <v>186</v>
      </c>
      <c r="D247" s="112" t="s">
        <v>29</v>
      </c>
      <c r="E247" s="149"/>
      <c r="F247" s="112">
        <f>F240</f>
        <v>6</v>
      </c>
      <c r="G247" s="61">
        <f>E247*F247</f>
        <v>0</v>
      </c>
      <c r="H247" s="61"/>
      <c r="I247" s="63">
        <v>2.9999999999999997E-4</v>
      </c>
      <c r="J247" s="64">
        <f>I247*F247</f>
        <v>1.8E-3</v>
      </c>
      <c r="K247" s="146"/>
      <c r="N247" s="9"/>
    </row>
    <row r="248" spans="1:14" x14ac:dyDescent="0.2">
      <c r="A248" s="58"/>
      <c r="B248" s="382"/>
      <c r="C248" s="422"/>
      <c r="D248" s="112"/>
      <c r="E248" s="149"/>
      <c r="F248" s="112"/>
      <c r="G248" s="61"/>
      <c r="H248" s="61"/>
      <c r="I248" s="63"/>
      <c r="J248" s="64"/>
      <c r="K248" s="65"/>
      <c r="L248" s="20"/>
      <c r="N248" s="9"/>
    </row>
    <row r="249" spans="1:14" x14ac:dyDescent="0.2">
      <c r="A249" s="58"/>
      <c r="B249" s="382" t="s">
        <v>18</v>
      </c>
      <c r="C249" s="422" t="s">
        <v>187</v>
      </c>
      <c r="D249" s="112" t="s">
        <v>39</v>
      </c>
      <c r="E249" s="149"/>
      <c r="F249" s="175">
        <v>0.16755160819145601</v>
      </c>
      <c r="G249" s="61"/>
      <c r="H249" s="61"/>
      <c r="I249" s="63"/>
      <c r="J249" s="64"/>
      <c r="K249" s="65"/>
      <c r="L249" s="20"/>
      <c r="N249" s="9"/>
    </row>
    <row r="250" spans="1:14" x14ac:dyDescent="0.2">
      <c r="A250" s="58"/>
      <c r="B250" s="382" t="s">
        <v>18</v>
      </c>
      <c r="C250" s="422" t="s">
        <v>188</v>
      </c>
      <c r="D250" s="112" t="s">
        <v>39</v>
      </c>
      <c r="E250" s="149"/>
      <c r="F250" s="175">
        <v>0.56548667764616301</v>
      </c>
      <c r="G250" s="61"/>
      <c r="H250" s="61"/>
      <c r="I250" s="63"/>
      <c r="J250" s="64"/>
      <c r="K250" s="65"/>
      <c r="L250" s="20"/>
      <c r="N250" s="9"/>
    </row>
    <row r="251" spans="1:14" x14ac:dyDescent="0.2">
      <c r="A251" s="58"/>
      <c r="B251" s="382">
        <v>184852322</v>
      </c>
      <c r="C251" s="422" t="s">
        <v>132</v>
      </c>
      <c r="D251" s="112" t="s">
        <v>31</v>
      </c>
      <c r="E251" s="149"/>
      <c r="F251" s="112">
        <f>F240</f>
        <v>6</v>
      </c>
      <c r="G251" s="61"/>
      <c r="H251" s="61">
        <f>E251*F251</f>
        <v>0</v>
      </c>
      <c r="I251" s="63"/>
      <c r="J251" s="64"/>
      <c r="K251" s="65"/>
      <c r="L251" s="20"/>
      <c r="N251" s="9"/>
    </row>
    <row r="252" spans="1:14" x14ac:dyDescent="0.2">
      <c r="A252" s="58"/>
      <c r="B252" s="382" t="s">
        <v>32</v>
      </c>
      <c r="C252" s="422" t="s">
        <v>133</v>
      </c>
      <c r="D252" s="112" t="s">
        <v>29</v>
      </c>
      <c r="E252" s="149"/>
      <c r="F252" s="112">
        <f>F240</f>
        <v>6</v>
      </c>
      <c r="G252" s="61"/>
      <c r="H252" s="61">
        <f>E252*F252</f>
        <v>0</v>
      </c>
      <c r="I252" s="63"/>
      <c r="J252" s="64"/>
      <c r="K252" s="65"/>
      <c r="L252" s="20"/>
      <c r="N252" s="9"/>
    </row>
    <row r="253" spans="1:14" ht="25.5" x14ac:dyDescent="0.2">
      <c r="A253" s="58"/>
      <c r="B253" s="377">
        <v>183101321</v>
      </c>
      <c r="C253" s="414" t="s">
        <v>189</v>
      </c>
      <c r="D253" s="10" t="s">
        <v>31</v>
      </c>
      <c r="E253" s="149"/>
      <c r="F253" s="10">
        <f>F240</f>
        <v>6</v>
      </c>
      <c r="G253" s="62"/>
      <c r="H253" s="62">
        <f>E253*F253</f>
        <v>0</v>
      </c>
      <c r="I253" s="63"/>
      <c r="J253" s="64"/>
      <c r="K253" s="65"/>
      <c r="L253" s="20"/>
      <c r="N253" s="9"/>
    </row>
    <row r="254" spans="1:14" x14ac:dyDescent="0.2">
      <c r="A254" s="58"/>
      <c r="B254" s="377" t="s">
        <v>34</v>
      </c>
      <c r="C254" s="414" t="s">
        <v>190</v>
      </c>
      <c r="D254" s="10" t="s">
        <v>39</v>
      </c>
      <c r="E254" s="148"/>
      <c r="F254" s="18">
        <f>(1.13)*F240</f>
        <v>6.7799999999999994</v>
      </c>
      <c r="G254" s="62">
        <f>E254*F254</f>
        <v>0</v>
      </c>
      <c r="H254" s="62"/>
      <c r="I254" s="63"/>
      <c r="J254" s="64"/>
      <c r="K254" s="65"/>
      <c r="L254" s="20"/>
      <c r="N254" s="9"/>
    </row>
    <row r="255" spans="1:14" s="9" customFormat="1" ht="25.5" x14ac:dyDescent="0.2">
      <c r="A255" s="58"/>
      <c r="B255" s="377" t="s">
        <v>34</v>
      </c>
      <c r="C255" s="414" t="s">
        <v>174</v>
      </c>
      <c r="D255" s="10" t="s">
        <v>39</v>
      </c>
      <c r="E255" s="148"/>
      <c r="F255" s="18">
        <f>0.565*F240*1.1</f>
        <v>3.7290000000000001</v>
      </c>
      <c r="G255" s="62">
        <f>E255*F255</f>
        <v>0</v>
      </c>
      <c r="H255" s="62"/>
      <c r="I255" s="144"/>
      <c r="J255" s="145"/>
      <c r="K255" s="146"/>
      <c r="L255" s="147"/>
    </row>
    <row r="256" spans="1:14" x14ac:dyDescent="0.2">
      <c r="A256" s="58"/>
      <c r="B256" s="377" t="s">
        <v>34</v>
      </c>
      <c r="C256" s="414" t="s">
        <v>137</v>
      </c>
      <c r="D256" s="10" t="s">
        <v>29</v>
      </c>
      <c r="E256" s="148"/>
      <c r="F256" s="150">
        <f>F240*5</f>
        <v>30</v>
      </c>
      <c r="G256" s="62">
        <f>E256*F256</f>
        <v>0</v>
      </c>
      <c r="H256" s="62"/>
      <c r="I256" s="63"/>
      <c r="J256" s="176"/>
      <c r="K256" s="146"/>
      <c r="L256" s="20"/>
      <c r="N256" s="9"/>
    </row>
    <row r="257" spans="1:14" x14ac:dyDescent="0.2">
      <c r="A257" s="58"/>
      <c r="B257" s="377">
        <v>185802114</v>
      </c>
      <c r="C257" s="414" t="s">
        <v>138</v>
      </c>
      <c r="D257" s="10" t="s">
        <v>16</v>
      </c>
      <c r="E257" s="148"/>
      <c r="F257" s="151">
        <f>(F256/100000)</f>
        <v>2.9999999999999997E-4</v>
      </c>
      <c r="G257" s="62"/>
      <c r="H257" s="62">
        <f t="shared" ref="H257:H262" si="6">E257*F257</f>
        <v>0</v>
      </c>
      <c r="I257" s="144"/>
      <c r="J257" s="176"/>
      <c r="K257" s="146"/>
      <c r="L257" s="20"/>
      <c r="N257" s="9"/>
    </row>
    <row r="258" spans="1:14" ht="25.5" x14ac:dyDescent="0.2">
      <c r="A258" s="58"/>
      <c r="B258" s="377" t="s">
        <v>32</v>
      </c>
      <c r="C258" s="414" t="s">
        <v>158</v>
      </c>
      <c r="D258" s="10" t="s">
        <v>29</v>
      </c>
      <c r="E258" s="148"/>
      <c r="F258" s="142">
        <f>F240</f>
        <v>6</v>
      </c>
      <c r="G258" s="62"/>
      <c r="H258" s="62">
        <f t="shared" si="6"/>
        <v>0</v>
      </c>
      <c r="I258" s="144"/>
      <c r="J258" s="64"/>
      <c r="K258" s="65"/>
      <c r="L258" s="8"/>
      <c r="N258" s="9"/>
    </row>
    <row r="259" spans="1:14" x14ac:dyDescent="0.2">
      <c r="A259" s="58"/>
      <c r="B259" s="377">
        <v>184102117</v>
      </c>
      <c r="C259" s="414" t="s">
        <v>191</v>
      </c>
      <c r="D259" s="10" t="s">
        <v>31</v>
      </c>
      <c r="E259" s="149"/>
      <c r="F259" s="10">
        <f>F241</f>
        <v>0</v>
      </c>
      <c r="G259" s="62"/>
      <c r="H259" s="62">
        <f t="shared" si="6"/>
        <v>0</v>
      </c>
      <c r="I259" s="63"/>
      <c r="J259" s="64"/>
      <c r="K259" s="65"/>
      <c r="L259" s="20"/>
      <c r="N259" s="9"/>
    </row>
    <row r="260" spans="1:14" ht="25.5" x14ac:dyDescent="0.2">
      <c r="A260" s="58"/>
      <c r="B260" s="382">
        <v>184215212</v>
      </c>
      <c r="C260" s="422" t="s">
        <v>179</v>
      </c>
      <c r="D260" s="112" t="s">
        <v>31</v>
      </c>
      <c r="E260" s="148"/>
      <c r="F260" s="142">
        <f>F240</f>
        <v>6</v>
      </c>
      <c r="G260" s="61"/>
      <c r="H260" s="61">
        <f t="shared" si="6"/>
        <v>0</v>
      </c>
      <c r="I260" s="63"/>
      <c r="J260" s="64"/>
      <c r="K260" s="65"/>
      <c r="N260" s="9"/>
    </row>
    <row r="261" spans="1:14" x14ac:dyDescent="0.2">
      <c r="A261" s="58"/>
      <c r="B261" s="382">
        <v>185804311</v>
      </c>
      <c r="C261" s="422" t="s">
        <v>144</v>
      </c>
      <c r="D261" s="112" t="s">
        <v>39</v>
      </c>
      <c r="E261" s="149"/>
      <c r="F261" s="59">
        <f>F240*0.15</f>
        <v>0.89999999999999991</v>
      </c>
      <c r="G261" s="61"/>
      <c r="H261" s="62">
        <f t="shared" si="6"/>
        <v>0</v>
      </c>
      <c r="I261" s="144"/>
      <c r="J261" s="64"/>
      <c r="K261" s="146"/>
      <c r="L261" s="20"/>
      <c r="N261" s="9"/>
    </row>
    <row r="262" spans="1:14" x14ac:dyDescent="0.2">
      <c r="A262" s="58"/>
      <c r="B262" s="382" t="s">
        <v>32</v>
      </c>
      <c r="C262" s="422" t="s">
        <v>145</v>
      </c>
      <c r="D262" s="112" t="s">
        <v>29</v>
      </c>
      <c r="E262" s="149"/>
      <c r="F262" s="112">
        <f>F240</f>
        <v>6</v>
      </c>
      <c r="G262" s="61"/>
      <c r="H262" s="61">
        <f t="shared" si="6"/>
        <v>0</v>
      </c>
      <c r="I262" s="63"/>
      <c r="J262" s="64"/>
      <c r="K262" s="65"/>
      <c r="L262" s="20"/>
      <c r="N262" s="9"/>
    </row>
    <row r="263" spans="1:14" ht="25.5" x14ac:dyDescent="0.2">
      <c r="A263" s="58"/>
      <c r="B263" s="382" t="s">
        <v>18</v>
      </c>
      <c r="C263" s="422" t="s">
        <v>683</v>
      </c>
      <c r="D263" s="112"/>
      <c r="E263" s="149"/>
      <c r="F263" s="112"/>
      <c r="G263" s="61"/>
      <c r="H263" s="61"/>
      <c r="I263" s="63"/>
      <c r="J263" s="64"/>
      <c r="K263" s="65"/>
      <c r="L263" s="20"/>
      <c r="N263" s="9"/>
    </row>
    <row r="264" spans="1:14" ht="25.5" x14ac:dyDescent="0.2">
      <c r="A264" s="58"/>
      <c r="B264" s="382" t="s">
        <v>18</v>
      </c>
      <c r="C264" s="426" t="s">
        <v>192</v>
      </c>
      <c r="D264" s="112"/>
      <c r="E264" s="149"/>
      <c r="F264" s="112"/>
      <c r="G264" s="61"/>
      <c r="H264" s="61"/>
      <c r="I264" s="63"/>
      <c r="J264" s="64"/>
      <c r="K264" s="65"/>
      <c r="L264" s="20"/>
      <c r="N264" s="9"/>
    </row>
    <row r="265" spans="1:14" ht="51" x14ac:dyDescent="0.2">
      <c r="A265" s="58"/>
      <c r="B265" s="382" t="s">
        <v>34</v>
      </c>
      <c r="C265" s="422" t="s">
        <v>686</v>
      </c>
      <c r="D265" s="112" t="s">
        <v>29</v>
      </c>
      <c r="E265" s="149"/>
      <c r="F265" s="112">
        <f>F196</f>
        <v>13</v>
      </c>
      <c r="G265" s="61"/>
      <c r="H265" s="61"/>
      <c r="I265" s="63"/>
      <c r="J265" s="64"/>
      <c r="K265" s="65"/>
      <c r="L265" s="20"/>
      <c r="N265" s="9"/>
    </row>
    <row r="266" spans="1:14" x14ac:dyDescent="0.2">
      <c r="A266" s="58"/>
      <c r="B266" s="382" t="s">
        <v>18</v>
      </c>
      <c r="C266" s="422">
        <f>0.94*0.45</f>
        <v>0.42299999999999999</v>
      </c>
      <c r="D266" s="112" t="s">
        <v>66</v>
      </c>
      <c r="E266" s="149"/>
      <c r="F266" s="112">
        <f>F265*C266</f>
        <v>5.4989999999999997</v>
      </c>
      <c r="G266" s="61"/>
      <c r="H266" s="61"/>
      <c r="I266" s="63"/>
      <c r="J266" s="64"/>
      <c r="K266" s="65"/>
      <c r="L266" s="20"/>
      <c r="N266" s="9"/>
    </row>
    <row r="267" spans="1:14" x14ac:dyDescent="0.2">
      <c r="A267" s="58"/>
      <c r="B267" s="382" t="s">
        <v>34</v>
      </c>
      <c r="C267" s="422" t="s">
        <v>193</v>
      </c>
      <c r="D267" s="112" t="s">
        <v>29</v>
      </c>
      <c r="E267" s="149"/>
      <c r="F267" s="112">
        <v>13</v>
      </c>
      <c r="G267" s="61">
        <f>E267*F267</f>
        <v>0</v>
      </c>
      <c r="H267" s="61"/>
      <c r="I267" s="63">
        <v>2.3999999999999998E-3</v>
      </c>
      <c r="J267" s="64">
        <f>I267*F267</f>
        <v>3.1199999999999999E-2</v>
      </c>
      <c r="K267" s="65"/>
      <c r="L267" s="20"/>
      <c r="N267" s="9"/>
    </row>
    <row r="268" spans="1:14" x14ac:dyDescent="0.2">
      <c r="A268" s="58"/>
      <c r="B268" s="382" t="s">
        <v>34</v>
      </c>
      <c r="C268" s="422" t="s">
        <v>194</v>
      </c>
      <c r="D268" s="112" t="s">
        <v>29</v>
      </c>
      <c r="E268" s="149"/>
      <c r="F268" s="112">
        <f>F265*6</f>
        <v>78</v>
      </c>
      <c r="G268" s="61">
        <f>E268*F268</f>
        <v>0</v>
      </c>
      <c r="H268" s="61"/>
      <c r="I268" s="63"/>
      <c r="J268" s="64"/>
      <c r="K268" s="65"/>
      <c r="L268" s="20"/>
      <c r="N268" s="9"/>
    </row>
    <row r="269" spans="1:14" x14ac:dyDescent="0.2">
      <c r="A269" s="58"/>
      <c r="B269" s="382" t="s">
        <v>32</v>
      </c>
      <c r="C269" s="422" t="s">
        <v>195</v>
      </c>
      <c r="D269" s="112" t="s">
        <v>29</v>
      </c>
      <c r="E269" s="149"/>
      <c r="F269" s="112">
        <f>F265</f>
        <v>13</v>
      </c>
      <c r="G269" s="61"/>
      <c r="H269" s="61">
        <f>E269*F269</f>
        <v>0</v>
      </c>
      <c r="I269" s="63"/>
      <c r="J269" s="64"/>
      <c r="K269" s="65"/>
      <c r="L269" s="20"/>
      <c r="N269" s="9"/>
    </row>
    <row r="270" spans="1:14" x14ac:dyDescent="0.2">
      <c r="A270" s="58"/>
      <c r="B270" s="382"/>
      <c r="C270" s="422"/>
      <c r="D270" s="112"/>
      <c r="E270" s="149"/>
      <c r="F270" s="112"/>
      <c r="G270" s="61"/>
      <c r="H270" s="61"/>
      <c r="I270" s="63"/>
      <c r="J270" s="64"/>
      <c r="K270" s="65"/>
      <c r="L270" s="20"/>
      <c r="N270" s="9"/>
    </row>
    <row r="271" spans="1:14" x14ac:dyDescent="0.2">
      <c r="A271" s="58"/>
      <c r="B271" s="382"/>
      <c r="C271" s="422"/>
      <c r="D271" s="112"/>
      <c r="E271" s="149"/>
      <c r="F271" s="112"/>
      <c r="G271" s="61"/>
      <c r="H271" s="61"/>
      <c r="I271" s="63"/>
      <c r="J271" s="64"/>
      <c r="K271" s="65"/>
      <c r="L271" s="20"/>
      <c r="N271" s="9"/>
    </row>
    <row r="272" spans="1:14" x14ac:dyDescent="0.2">
      <c r="A272" s="58"/>
      <c r="B272" s="385">
        <v>998231411</v>
      </c>
      <c r="C272" s="425" t="s">
        <v>94</v>
      </c>
      <c r="D272" s="164" t="s">
        <v>16</v>
      </c>
      <c r="E272" s="117"/>
      <c r="F272" s="177">
        <f>J272</f>
        <v>1.1181000000000001</v>
      </c>
      <c r="G272" s="119"/>
      <c r="H272" s="119">
        <f>E272*F272</f>
        <v>0</v>
      </c>
      <c r="I272" s="136" t="s">
        <v>6</v>
      </c>
      <c r="J272" s="137">
        <f>SUM(J241:J271)</f>
        <v>1.1181000000000001</v>
      </c>
      <c r="K272" s="167"/>
      <c r="L272" s="20"/>
      <c r="N272" s="9"/>
    </row>
    <row r="273" spans="1:14" x14ac:dyDescent="0.2">
      <c r="A273" s="58"/>
      <c r="B273" s="377"/>
      <c r="C273" s="417"/>
      <c r="D273" s="59"/>
      <c r="E273" s="60"/>
      <c r="F273" s="59"/>
      <c r="G273" s="61"/>
      <c r="H273" s="62"/>
      <c r="I273" s="63"/>
      <c r="J273" s="64"/>
      <c r="K273" s="65"/>
      <c r="L273" s="8"/>
      <c r="N273" s="9"/>
    </row>
    <row r="274" spans="1:14" s="28" customFormat="1" ht="25.5" x14ac:dyDescent="0.2">
      <c r="A274" s="22"/>
      <c r="B274" s="375" t="s">
        <v>18</v>
      </c>
      <c r="C274" s="412" t="s">
        <v>19</v>
      </c>
      <c r="D274" s="23"/>
      <c r="E274" s="23" t="s">
        <v>20</v>
      </c>
      <c r="F274" s="24"/>
      <c r="G274" s="25" t="s">
        <v>22</v>
      </c>
      <c r="H274" s="25" t="s">
        <v>23</v>
      </c>
      <c r="I274" s="26" t="s">
        <v>24</v>
      </c>
      <c r="J274" s="26" t="s">
        <v>25</v>
      </c>
      <c r="K274" s="25" t="s">
        <v>26</v>
      </c>
      <c r="L274" s="27"/>
      <c r="N274" s="9"/>
    </row>
    <row r="275" spans="1:14" x14ac:dyDescent="0.2">
      <c r="A275" s="58"/>
      <c r="B275" s="376" t="s">
        <v>196</v>
      </c>
      <c r="C275" s="413" t="s">
        <v>197</v>
      </c>
      <c r="D275" s="30" t="s">
        <v>29</v>
      </c>
      <c r="E275" s="139">
        <f>I275/F275</f>
        <v>0</v>
      </c>
      <c r="F275" s="30">
        <f>F276</f>
        <v>10</v>
      </c>
      <c r="G275" s="140">
        <f>SUM(G276:G299)</f>
        <v>0</v>
      </c>
      <c r="H275" s="140">
        <f>SUM(H276:H299)</f>
        <v>0</v>
      </c>
      <c r="I275" s="140">
        <f>H275+G275</f>
        <v>0</v>
      </c>
      <c r="J275" s="140">
        <f>I275/100*21</f>
        <v>0</v>
      </c>
      <c r="K275" s="34">
        <f>J275+I275</f>
        <v>0</v>
      </c>
      <c r="L275" s="20"/>
      <c r="N275" s="9"/>
    </row>
    <row r="276" spans="1:14" x14ac:dyDescent="0.2">
      <c r="A276" s="58"/>
      <c r="B276" s="384" t="s">
        <v>18</v>
      </c>
      <c r="C276" s="424" t="s">
        <v>169</v>
      </c>
      <c r="D276" s="156" t="s">
        <v>29</v>
      </c>
      <c r="E276" s="157"/>
      <c r="F276" s="112">
        <f>SUM(F277:F277)</f>
        <v>10</v>
      </c>
      <c r="G276" s="143"/>
      <c r="H276" s="143"/>
      <c r="I276" s="63"/>
      <c r="J276" s="64"/>
      <c r="K276" s="65"/>
      <c r="L276" s="20"/>
      <c r="N276" s="9"/>
    </row>
    <row r="277" spans="1:14" s="9" customFormat="1" ht="12.75" x14ac:dyDescent="0.2">
      <c r="A277" s="58"/>
      <c r="B277" s="377" t="s">
        <v>34</v>
      </c>
      <c r="C277" s="423" t="s">
        <v>198</v>
      </c>
      <c r="D277" s="10" t="s">
        <v>29</v>
      </c>
      <c r="E277" s="148"/>
      <c r="F277" s="10">
        <v>10</v>
      </c>
      <c r="G277" s="62">
        <f>E277*F277</f>
        <v>0</v>
      </c>
      <c r="H277" s="62"/>
      <c r="I277" s="144">
        <v>0.1</v>
      </c>
      <c r="J277" s="145">
        <f>I277*F277</f>
        <v>1</v>
      </c>
      <c r="K277" s="146"/>
      <c r="L277" s="8"/>
    </row>
    <row r="278" spans="1:14" s="9" customFormat="1" ht="12.75" x14ac:dyDescent="0.2">
      <c r="A278" s="58"/>
      <c r="B278" s="377"/>
      <c r="C278" s="423"/>
      <c r="D278" s="10"/>
      <c r="E278" s="148"/>
      <c r="F278" s="10"/>
      <c r="G278" s="62"/>
      <c r="H278" s="62"/>
      <c r="I278" s="144"/>
      <c r="J278" s="145"/>
      <c r="K278" s="146"/>
      <c r="L278" s="8"/>
    </row>
    <row r="279" spans="1:14" ht="51" x14ac:dyDescent="0.2">
      <c r="A279" s="58"/>
      <c r="B279" s="382"/>
      <c r="C279" s="427" t="s">
        <v>687</v>
      </c>
      <c r="D279" s="112"/>
      <c r="E279" s="152"/>
      <c r="F279" s="112"/>
      <c r="G279" s="61"/>
      <c r="H279" s="61"/>
      <c r="I279" s="63"/>
      <c r="J279" s="64"/>
      <c r="K279" s="146"/>
      <c r="N279" s="9"/>
    </row>
    <row r="280" spans="1:14" ht="63.75" x14ac:dyDescent="0.2">
      <c r="A280" s="58"/>
      <c r="B280" s="382"/>
      <c r="C280" s="422" t="s">
        <v>199</v>
      </c>
      <c r="D280" s="112"/>
      <c r="E280" s="149"/>
      <c r="F280" s="112"/>
      <c r="G280" s="61"/>
      <c r="H280" s="61"/>
      <c r="I280" s="63"/>
      <c r="J280" s="64"/>
      <c r="K280" s="146"/>
      <c r="L280" s="20"/>
      <c r="N280" s="9"/>
    </row>
    <row r="281" spans="1:14" ht="38.25" x14ac:dyDescent="0.2">
      <c r="A281" s="58"/>
      <c r="B281" s="382" t="s">
        <v>34</v>
      </c>
      <c r="C281" s="422" t="s">
        <v>200</v>
      </c>
      <c r="D281" s="112" t="s">
        <v>29</v>
      </c>
      <c r="E281" s="149"/>
      <c r="F281" s="112">
        <f>F276</f>
        <v>10</v>
      </c>
      <c r="G281" s="61">
        <f>E281*F281</f>
        <v>0</v>
      </c>
      <c r="H281" s="61"/>
      <c r="I281" s="63">
        <v>8.4999999999999995E-4</v>
      </c>
      <c r="J281" s="64">
        <f>I281*F281</f>
        <v>8.4999999999999989E-3</v>
      </c>
      <c r="K281" s="146"/>
      <c r="L281" s="20"/>
      <c r="N281" s="9"/>
    </row>
    <row r="282" spans="1:14" x14ac:dyDescent="0.2">
      <c r="A282" s="58"/>
      <c r="B282" s="382"/>
      <c r="C282" s="422" t="s">
        <v>173</v>
      </c>
      <c r="D282" s="112" t="s">
        <v>29</v>
      </c>
      <c r="E282" s="149"/>
      <c r="F282" s="112">
        <f>F276</f>
        <v>10</v>
      </c>
      <c r="G282" s="61">
        <f>E282*F282</f>
        <v>0</v>
      </c>
      <c r="H282" s="61"/>
      <c r="I282" s="63">
        <v>2.9999999999999997E-4</v>
      </c>
      <c r="J282" s="64">
        <f>I282*F282</f>
        <v>2.9999999999999996E-3</v>
      </c>
      <c r="K282" s="146"/>
      <c r="L282" s="20"/>
      <c r="N282" s="9"/>
    </row>
    <row r="283" spans="1:14" x14ac:dyDescent="0.2">
      <c r="A283" s="58"/>
      <c r="B283" s="382" t="s">
        <v>18</v>
      </c>
      <c r="C283" s="422" t="s">
        <v>155</v>
      </c>
      <c r="D283" s="112" t="s">
        <v>39</v>
      </c>
      <c r="E283" s="160"/>
      <c r="F283" s="132">
        <v>0.1</v>
      </c>
      <c r="G283" s="61"/>
      <c r="H283" s="61"/>
      <c r="I283" s="63"/>
      <c r="J283" s="64"/>
      <c r="K283" s="65"/>
      <c r="L283" s="20"/>
      <c r="N283" s="9"/>
    </row>
    <row r="284" spans="1:14" x14ac:dyDescent="0.2">
      <c r="A284" s="58"/>
      <c r="B284" s="382">
        <v>184852322</v>
      </c>
      <c r="C284" s="422" t="s">
        <v>132</v>
      </c>
      <c r="D284" s="112" t="s">
        <v>31</v>
      </c>
      <c r="E284" s="149"/>
      <c r="F284" s="131">
        <f>F278</f>
        <v>0</v>
      </c>
      <c r="G284" s="61"/>
      <c r="H284" s="61">
        <f>E284*F284</f>
        <v>0</v>
      </c>
      <c r="I284" s="63"/>
      <c r="J284" s="64"/>
      <c r="K284" s="146"/>
      <c r="L284" s="20"/>
      <c r="N284" s="9"/>
    </row>
    <row r="285" spans="1:14" ht="127.5" x14ac:dyDescent="0.2">
      <c r="A285" s="58"/>
      <c r="B285" s="382"/>
      <c r="C285" s="414" t="s">
        <v>201</v>
      </c>
      <c r="D285" s="112"/>
      <c r="E285" s="159"/>
      <c r="F285" s="132"/>
      <c r="G285" s="61"/>
      <c r="H285" s="61"/>
      <c r="I285" s="63"/>
      <c r="J285" s="64"/>
      <c r="K285" s="65"/>
      <c r="L285" s="20"/>
      <c r="N285" s="9"/>
    </row>
    <row r="286" spans="1:14" ht="51" x14ac:dyDescent="0.2">
      <c r="A286" s="58"/>
      <c r="B286" s="382"/>
      <c r="C286" s="414" t="s">
        <v>202</v>
      </c>
      <c r="D286" s="112"/>
      <c r="E286" s="159"/>
      <c r="F286" s="132"/>
      <c r="G286" s="61"/>
      <c r="H286" s="61"/>
      <c r="I286" s="63"/>
      <c r="J286" s="64"/>
      <c r="K286" s="65"/>
      <c r="L286" s="20"/>
      <c r="N286" s="9"/>
    </row>
    <row r="287" spans="1:14" x14ac:dyDescent="0.2">
      <c r="A287" s="58"/>
      <c r="B287" s="382" t="s">
        <v>32</v>
      </c>
      <c r="C287" s="414" t="s">
        <v>133</v>
      </c>
      <c r="D287" s="112" t="s">
        <v>29</v>
      </c>
      <c r="E287" s="160"/>
      <c r="F287" s="131">
        <f>F276</f>
        <v>10</v>
      </c>
      <c r="G287" s="61"/>
      <c r="H287" s="61">
        <f>E287*F287</f>
        <v>0</v>
      </c>
      <c r="I287" s="63"/>
      <c r="J287" s="64"/>
      <c r="K287" s="65"/>
      <c r="L287" s="20"/>
      <c r="N287" s="9"/>
    </row>
    <row r="288" spans="1:14" ht="25.5" x14ac:dyDescent="0.2">
      <c r="A288" s="58"/>
      <c r="B288" s="382" t="s">
        <v>203</v>
      </c>
      <c r="C288" s="414" t="s">
        <v>204</v>
      </c>
      <c r="D288" s="112"/>
      <c r="E288" s="160"/>
      <c r="F288" s="132"/>
      <c r="G288" s="61"/>
      <c r="H288" s="61"/>
      <c r="I288" s="63"/>
      <c r="J288" s="64"/>
      <c r="K288" s="65"/>
      <c r="L288" s="20"/>
      <c r="N288" s="9"/>
    </row>
    <row r="289" spans="1:36" x14ac:dyDescent="0.2">
      <c r="A289" s="58"/>
      <c r="B289" s="382" t="s">
        <v>203</v>
      </c>
      <c r="C289" s="414" t="s">
        <v>205</v>
      </c>
      <c r="D289" s="112"/>
      <c r="E289" s="160"/>
      <c r="F289" s="132"/>
      <c r="G289" s="61"/>
      <c r="H289" s="61"/>
      <c r="I289" s="63"/>
      <c r="J289" s="64"/>
      <c r="K289" s="65"/>
      <c r="L289" s="20"/>
      <c r="N289" s="9"/>
    </row>
    <row r="290" spans="1:36" x14ac:dyDescent="0.2">
      <c r="A290" s="58"/>
      <c r="B290" s="382" t="s">
        <v>203</v>
      </c>
      <c r="C290" s="414" t="s">
        <v>206</v>
      </c>
      <c r="D290" s="112"/>
      <c r="E290" s="178"/>
      <c r="F290" s="132"/>
      <c r="G290" s="61"/>
      <c r="H290" s="61"/>
      <c r="I290" s="63"/>
      <c r="J290" s="64"/>
      <c r="K290" s="65"/>
      <c r="L290" s="20"/>
      <c r="N290" s="9"/>
    </row>
    <row r="291" spans="1:36" x14ac:dyDescent="0.2">
      <c r="A291" s="58"/>
      <c r="B291" s="382" t="s">
        <v>34</v>
      </c>
      <c r="C291" s="414" t="s">
        <v>137</v>
      </c>
      <c r="D291" s="112" t="s">
        <v>29</v>
      </c>
      <c r="E291" s="178"/>
      <c r="F291" s="150">
        <f>F276*5</f>
        <v>50</v>
      </c>
      <c r="G291" s="61">
        <f>E291*F291</f>
        <v>0</v>
      </c>
      <c r="H291" s="61"/>
      <c r="I291" s="63"/>
      <c r="J291" s="64"/>
      <c r="K291" s="65"/>
      <c r="L291" s="20"/>
      <c r="N291" s="9"/>
    </row>
    <row r="292" spans="1:36" x14ac:dyDescent="0.2">
      <c r="A292" s="58"/>
      <c r="B292" s="377">
        <v>185802114</v>
      </c>
      <c r="C292" s="414" t="s">
        <v>138</v>
      </c>
      <c r="D292" s="10" t="s">
        <v>16</v>
      </c>
      <c r="E292" s="148"/>
      <c r="F292" s="151">
        <f>(F291/100000)</f>
        <v>5.0000000000000001E-4</v>
      </c>
      <c r="G292" s="62"/>
      <c r="H292" s="62">
        <f>E292*F292</f>
        <v>0</v>
      </c>
      <c r="I292" s="144"/>
      <c r="J292" s="64"/>
      <c r="K292" s="65"/>
      <c r="L292" s="20"/>
      <c r="N292" s="9"/>
    </row>
    <row r="293" spans="1:36" ht="25.5" x14ac:dyDescent="0.2">
      <c r="A293" s="58"/>
      <c r="B293" s="382" t="s">
        <v>32</v>
      </c>
      <c r="C293" s="414" t="s">
        <v>158</v>
      </c>
      <c r="D293" s="10" t="s">
        <v>29</v>
      </c>
      <c r="E293" s="148"/>
      <c r="F293" s="142">
        <f>F275</f>
        <v>10</v>
      </c>
      <c r="G293" s="62"/>
      <c r="H293" s="61">
        <f>E293*F293</f>
        <v>0</v>
      </c>
      <c r="I293" s="144"/>
      <c r="J293" s="64"/>
      <c r="K293" s="65"/>
      <c r="L293" s="8"/>
      <c r="N293" s="9"/>
    </row>
    <row r="294" spans="1:36" x14ac:dyDescent="0.2">
      <c r="A294" s="58"/>
      <c r="B294" s="382">
        <v>184102116</v>
      </c>
      <c r="C294" s="414" t="s">
        <v>159</v>
      </c>
      <c r="D294" s="112" t="s">
        <v>31</v>
      </c>
      <c r="E294" s="148"/>
      <c r="F294" s="131">
        <f>F276</f>
        <v>10</v>
      </c>
      <c r="G294" s="61"/>
      <c r="H294" s="61">
        <f>E294*F294</f>
        <v>0</v>
      </c>
      <c r="I294" s="63"/>
      <c r="J294" s="64"/>
      <c r="K294" s="65"/>
      <c r="N294" s="9"/>
    </row>
    <row r="295" spans="1:36" ht="25.5" x14ac:dyDescent="0.2">
      <c r="A295" s="58"/>
      <c r="B295" s="382">
        <v>184215211</v>
      </c>
      <c r="C295" s="414" t="s">
        <v>175</v>
      </c>
      <c r="D295" s="112" t="s">
        <v>31</v>
      </c>
      <c r="E295" s="148"/>
      <c r="F295" s="131">
        <f>F276</f>
        <v>10</v>
      </c>
      <c r="G295" s="61"/>
      <c r="H295" s="61">
        <f>E295*F295</f>
        <v>0</v>
      </c>
      <c r="I295" s="63"/>
      <c r="J295" s="64"/>
      <c r="K295" s="65"/>
      <c r="L295" s="20"/>
      <c r="N295" s="9"/>
    </row>
    <row r="296" spans="1:36" x14ac:dyDescent="0.2">
      <c r="A296" s="58"/>
      <c r="B296" s="382">
        <v>184215133</v>
      </c>
      <c r="C296" s="414" t="s">
        <v>143</v>
      </c>
      <c r="D296" s="112" t="s">
        <v>31</v>
      </c>
      <c r="E296" s="148"/>
      <c r="F296" s="131">
        <f>F276</f>
        <v>10</v>
      </c>
      <c r="G296" s="61"/>
      <c r="H296" s="61"/>
      <c r="I296" s="63"/>
      <c r="J296" s="64"/>
      <c r="K296" s="65"/>
      <c r="L296" s="20"/>
      <c r="N296" s="9"/>
    </row>
    <row r="297" spans="1:36" x14ac:dyDescent="0.2">
      <c r="A297" s="58"/>
      <c r="B297" s="382">
        <v>185804311</v>
      </c>
      <c r="C297" s="422" t="s">
        <v>144</v>
      </c>
      <c r="D297" s="112" t="s">
        <v>39</v>
      </c>
      <c r="E297" s="149"/>
      <c r="F297" s="59">
        <f>F276*0.15</f>
        <v>1.5</v>
      </c>
      <c r="G297" s="61"/>
      <c r="H297" s="62">
        <f>E297*F297</f>
        <v>0</v>
      </c>
      <c r="I297" s="144"/>
      <c r="J297" s="64"/>
      <c r="K297" s="65"/>
      <c r="L297" s="20"/>
      <c r="N297" s="9"/>
    </row>
    <row r="298" spans="1:36" x14ac:dyDescent="0.2">
      <c r="A298" s="58"/>
      <c r="B298" s="382" t="s">
        <v>32</v>
      </c>
      <c r="C298" s="422" t="s">
        <v>145</v>
      </c>
      <c r="D298" s="112" t="s">
        <v>29</v>
      </c>
      <c r="E298" s="149"/>
      <c r="F298" s="142">
        <f>F276</f>
        <v>10</v>
      </c>
      <c r="G298" s="61"/>
      <c r="H298" s="62">
        <f>E298*F298</f>
        <v>0</v>
      </c>
      <c r="I298" s="144"/>
      <c r="J298" s="145"/>
      <c r="K298" s="146"/>
      <c r="L298" s="20"/>
      <c r="N298" s="9"/>
    </row>
    <row r="299" spans="1:36" s="9" customFormat="1" ht="12.75" x14ac:dyDescent="0.2">
      <c r="A299" s="58"/>
      <c r="B299" s="385">
        <v>998231411</v>
      </c>
      <c r="C299" s="425" t="s">
        <v>94</v>
      </c>
      <c r="D299" s="164" t="s">
        <v>16</v>
      </c>
      <c r="E299" s="165"/>
      <c r="F299" s="166">
        <f>J299</f>
        <v>1.0114999999999998</v>
      </c>
      <c r="G299" s="119"/>
      <c r="H299" s="120">
        <f>E299*F299</f>
        <v>0</v>
      </c>
      <c r="I299" s="136" t="s">
        <v>6</v>
      </c>
      <c r="J299" s="137">
        <f>SUM(J276:J298)</f>
        <v>1.0114999999999998</v>
      </c>
      <c r="K299" s="65"/>
      <c r="L299" s="27"/>
    </row>
    <row r="300" spans="1:36" x14ac:dyDescent="0.2">
      <c r="A300" s="58"/>
      <c r="B300" s="377"/>
      <c r="C300" s="414"/>
      <c r="D300" s="59"/>
      <c r="E300" s="60"/>
      <c r="F300" s="59"/>
      <c r="G300" s="61"/>
      <c r="H300" s="62"/>
      <c r="I300" s="63"/>
      <c r="J300" s="64"/>
      <c r="K300" s="65"/>
      <c r="L300" s="20"/>
      <c r="N300" s="9"/>
    </row>
    <row r="301" spans="1:36" s="28" customFormat="1" ht="25.5" x14ac:dyDescent="0.2">
      <c r="A301" s="22"/>
      <c r="B301" s="375" t="s">
        <v>18</v>
      </c>
      <c r="C301" s="412" t="s">
        <v>19</v>
      </c>
      <c r="D301" s="23"/>
      <c r="E301" s="23" t="s">
        <v>20</v>
      </c>
      <c r="F301" s="24"/>
      <c r="G301" s="25" t="s">
        <v>22</v>
      </c>
      <c r="H301" s="25" t="s">
        <v>23</v>
      </c>
      <c r="I301" s="26" t="s">
        <v>24</v>
      </c>
      <c r="J301" s="26" t="s">
        <v>25</v>
      </c>
      <c r="K301" s="25" t="s">
        <v>26</v>
      </c>
      <c r="L301" s="27"/>
      <c r="N301" s="9"/>
    </row>
    <row r="302" spans="1:36" x14ac:dyDescent="0.2">
      <c r="A302" s="58"/>
      <c r="B302" s="376" t="s">
        <v>207</v>
      </c>
      <c r="C302" s="413" t="s">
        <v>208</v>
      </c>
      <c r="D302" s="30" t="s">
        <v>29</v>
      </c>
      <c r="E302" s="139">
        <f>I302/F302</f>
        <v>0</v>
      </c>
      <c r="F302" s="30">
        <f>F303</f>
        <v>6</v>
      </c>
      <c r="G302" s="140">
        <f>SUM(G303:G325)</f>
        <v>0</v>
      </c>
      <c r="H302" s="140">
        <f>SUM(H303:H325)</f>
        <v>0</v>
      </c>
      <c r="I302" s="140">
        <f>H302+G302</f>
        <v>0</v>
      </c>
      <c r="J302" s="140">
        <f>I302/100*21</f>
        <v>0</v>
      </c>
      <c r="K302" s="34">
        <f>J302+I302</f>
        <v>0</v>
      </c>
      <c r="L302" s="20"/>
      <c r="N302" s="9"/>
    </row>
    <row r="303" spans="1:36" s="9" customFormat="1" ht="12.75" x14ac:dyDescent="0.2">
      <c r="A303" s="58"/>
      <c r="B303" s="382" t="s">
        <v>18</v>
      </c>
      <c r="C303" s="422" t="s">
        <v>169</v>
      </c>
      <c r="D303" s="112" t="s">
        <v>29</v>
      </c>
      <c r="E303" s="152"/>
      <c r="F303" s="112">
        <f>SUM(F304:F305)</f>
        <v>6</v>
      </c>
      <c r="G303" s="61"/>
      <c r="H303" s="61"/>
      <c r="I303" s="63"/>
      <c r="J303" s="64"/>
      <c r="K303" s="146"/>
      <c r="L303" s="8"/>
      <c r="M303" s="82"/>
      <c r="O303" s="82"/>
      <c r="P303" s="82"/>
      <c r="Q303" s="82"/>
      <c r="R303" s="82"/>
    </row>
    <row r="304" spans="1:36" s="9" customFormat="1" ht="12.75" x14ac:dyDescent="0.2">
      <c r="A304" s="162"/>
      <c r="B304" s="382" t="s">
        <v>148</v>
      </c>
      <c r="C304" s="428" t="s">
        <v>678</v>
      </c>
      <c r="D304" s="179" t="s">
        <v>29</v>
      </c>
      <c r="E304" s="152"/>
      <c r="F304" s="162">
        <v>3</v>
      </c>
      <c r="G304" s="180">
        <f>E304*F304</f>
        <v>0</v>
      </c>
      <c r="H304" s="180"/>
      <c r="I304" s="63">
        <v>0.1</v>
      </c>
      <c r="J304" s="181">
        <f>I304*F304</f>
        <v>0.30000000000000004</v>
      </c>
      <c r="K304" s="22"/>
      <c r="M304" s="21"/>
      <c r="N304" s="82"/>
      <c r="O304" s="82"/>
      <c r="P304" s="407"/>
      <c r="Q304" s="305"/>
      <c r="R304" s="305"/>
      <c r="S304" s="305"/>
      <c r="T304" s="182"/>
      <c r="U304" s="182"/>
      <c r="V304" s="182"/>
      <c r="W304" s="82"/>
      <c r="X304" s="82"/>
      <c r="Y304" s="82"/>
      <c r="Z304" s="82"/>
      <c r="AA304" s="82"/>
      <c r="AB304" s="82"/>
      <c r="AC304" s="82"/>
      <c r="AD304" s="82"/>
      <c r="AE304" s="82"/>
      <c r="AF304" s="82"/>
      <c r="AG304" s="82"/>
      <c r="AH304" s="82"/>
      <c r="AI304" s="82"/>
      <c r="AJ304" s="82"/>
    </row>
    <row r="305" spans="1:36" s="9" customFormat="1" ht="12.75" x14ac:dyDescent="0.2">
      <c r="A305" s="162"/>
      <c r="B305" s="382" t="s">
        <v>148</v>
      </c>
      <c r="C305" s="428" t="s">
        <v>679</v>
      </c>
      <c r="D305" s="179" t="s">
        <v>29</v>
      </c>
      <c r="E305" s="152"/>
      <c r="F305" s="162">
        <v>3</v>
      </c>
      <c r="G305" s="180">
        <f>E305*F305</f>
        <v>0</v>
      </c>
      <c r="H305" s="180"/>
      <c r="I305" s="63">
        <v>0.1</v>
      </c>
      <c r="J305" s="181">
        <f>I305*F305</f>
        <v>0.30000000000000004</v>
      </c>
      <c r="K305" s="22"/>
      <c r="M305" s="21"/>
      <c r="N305" s="82"/>
      <c r="O305" s="82"/>
      <c r="P305" s="407"/>
      <c r="Q305" s="305"/>
      <c r="R305" s="305"/>
      <c r="S305" s="305"/>
      <c r="T305" s="182"/>
      <c r="U305" s="182"/>
      <c r="V305" s="182"/>
      <c r="W305" s="82"/>
      <c r="X305" s="82"/>
      <c r="Y305" s="82"/>
      <c r="Z305" s="82"/>
      <c r="AA305" s="82"/>
      <c r="AB305" s="82"/>
      <c r="AC305" s="82"/>
      <c r="AD305" s="82"/>
      <c r="AE305" s="82"/>
      <c r="AF305" s="82"/>
      <c r="AG305" s="82"/>
      <c r="AH305" s="82"/>
      <c r="AI305" s="82"/>
      <c r="AJ305" s="82"/>
    </row>
    <row r="306" spans="1:36" s="9" customFormat="1" ht="25.5" x14ac:dyDescent="0.2">
      <c r="A306" s="58"/>
      <c r="B306" s="382"/>
      <c r="C306" s="421" t="s">
        <v>688</v>
      </c>
      <c r="D306" s="10"/>
      <c r="E306" s="152"/>
      <c r="F306" s="10"/>
      <c r="G306" s="62"/>
      <c r="H306" s="61"/>
      <c r="I306" s="63"/>
      <c r="J306" s="64"/>
      <c r="K306" s="146"/>
      <c r="L306" s="8"/>
      <c r="M306" s="82"/>
      <c r="O306" s="82"/>
      <c r="P306" s="82"/>
      <c r="Q306" s="82"/>
      <c r="R306" s="82"/>
    </row>
    <row r="307" spans="1:36" s="9" customFormat="1" ht="76.5" x14ac:dyDescent="0.2">
      <c r="A307" s="58"/>
      <c r="B307" s="382"/>
      <c r="C307" s="414" t="s">
        <v>689</v>
      </c>
      <c r="D307" s="10"/>
      <c r="E307" s="152"/>
      <c r="F307" s="10"/>
      <c r="G307" s="62"/>
      <c r="H307" s="61"/>
      <c r="I307" s="63"/>
      <c r="J307" s="64"/>
      <c r="K307" s="146"/>
      <c r="L307" s="8"/>
      <c r="M307" s="82"/>
      <c r="O307" s="82"/>
      <c r="P307" s="82"/>
      <c r="Q307" s="82"/>
      <c r="R307" s="82"/>
    </row>
    <row r="308" spans="1:36" s="9" customFormat="1" ht="38.25" x14ac:dyDescent="0.2">
      <c r="A308" s="58"/>
      <c r="B308" s="382" t="s">
        <v>34</v>
      </c>
      <c r="C308" s="414" t="s">
        <v>209</v>
      </c>
      <c r="D308" s="10" t="s">
        <v>29</v>
      </c>
      <c r="E308" s="148"/>
      <c r="F308" s="10">
        <f>F303</f>
        <v>6</v>
      </c>
      <c r="G308" s="62">
        <f>E308*F308</f>
        <v>0</v>
      </c>
      <c r="H308" s="61"/>
      <c r="I308" s="63">
        <v>8.4999999999999995E-4</v>
      </c>
      <c r="J308" s="64">
        <f>I308*F308</f>
        <v>5.0999999999999995E-3</v>
      </c>
      <c r="K308" s="146"/>
      <c r="L308" s="8"/>
      <c r="M308" s="82"/>
      <c r="O308" s="82"/>
      <c r="P308" s="82"/>
      <c r="Q308" s="82"/>
      <c r="R308" s="82"/>
    </row>
    <row r="309" spans="1:36" x14ac:dyDescent="0.2">
      <c r="A309" s="58"/>
      <c r="B309" s="382"/>
      <c r="C309" s="414" t="s">
        <v>173</v>
      </c>
      <c r="D309" s="10" t="s">
        <v>29</v>
      </c>
      <c r="E309" s="148"/>
      <c r="F309" s="10">
        <f>F303</f>
        <v>6</v>
      </c>
      <c r="G309" s="62">
        <f>E309*F309</f>
        <v>0</v>
      </c>
      <c r="H309" s="61"/>
      <c r="I309" s="63">
        <v>2.9999999999999997E-4</v>
      </c>
      <c r="J309" s="64">
        <f>I309*F309</f>
        <v>1.8E-3</v>
      </c>
      <c r="K309" s="146"/>
      <c r="L309" s="8"/>
      <c r="N309" s="9"/>
    </row>
    <row r="310" spans="1:36" x14ac:dyDescent="0.2">
      <c r="A310" s="58"/>
      <c r="B310" s="382" t="s">
        <v>18</v>
      </c>
      <c r="C310" s="414" t="s">
        <v>155</v>
      </c>
      <c r="D310" s="10" t="s">
        <v>39</v>
      </c>
      <c r="E310" s="148"/>
      <c r="F310" s="59">
        <v>0.1</v>
      </c>
      <c r="G310" s="62"/>
      <c r="H310" s="61"/>
      <c r="I310" s="63"/>
      <c r="J310" s="64"/>
      <c r="K310" s="65"/>
      <c r="L310" s="8"/>
      <c r="N310" s="9"/>
    </row>
    <row r="311" spans="1:36" x14ac:dyDescent="0.2">
      <c r="A311" s="58"/>
      <c r="B311" s="382">
        <v>184852322</v>
      </c>
      <c r="C311" s="422" t="s">
        <v>132</v>
      </c>
      <c r="D311" s="112" t="s">
        <v>31</v>
      </c>
      <c r="E311" s="149"/>
      <c r="F311" s="131">
        <f>F305</f>
        <v>3</v>
      </c>
      <c r="G311" s="61"/>
      <c r="H311" s="61">
        <f>E311*F311</f>
        <v>0</v>
      </c>
      <c r="I311" s="63"/>
      <c r="J311" s="64"/>
      <c r="K311" s="146"/>
      <c r="L311" s="20"/>
      <c r="N311" s="9"/>
    </row>
    <row r="312" spans="1:36" ht="63.75" x14ac:dyDescent="0.2">
      <c r="A312" s="58"/>
      <c r="B312" s="382"/>
      <c r="C312" s="414" t="s">
        <v>210</v>
      </c>
      <c r="D312" s="10"/>
      <c r="E312" s="152"/>
      <c r="F312" s="59"/>
      <c r="G312" s="62"/>
      <c r="H312" s="61"/>
      <c r="I312" s="63"/>
      <c r="J312" s="64"/>
      <c r="K312" s="65"/>
      <c r="L312" s="8"/>
      <c r="N312" s="9"/>
    </row>
    <row r="313" spans="1:36" ht="51" x14ac:dyDescent="0.2">
      <c r="A313" s="58"/>
      <c r="B313" s="382"/>
      <c r="C313" s="414" t="s">
        <v>211</v>
      </c>
      <c r="D313" s="10"/>
      <c r="E313" s="152"/>
      <c r="F313" s="59"/>
      <c r="G313" s="62"/>
      <c r="H313" s="61"/>
      <c r="I313" s="63"/>
      <c r="J313" s="64"/>
      <c r="K313" s="65"/>
      <c r="L313" s="8"/>
      <c r="N313" s="9"/>
    </row>
    <row r="314" spans="1:36" x14ac:dyDescent="0.2">
      <c r="A314" s="58"/>
      <c r="B314" s="382" t="s">
        <v>32</v>
      </c>
      <c r="C314" s="414" t="s">
        <v>133</v>
      </c>
      <c r="D314" s="10" t="s">
        <v>29</v>
      </c>
      <c r="E314" s="173"/>
      <c r="F314" s="142">
        <f>F303</f>
        <v>6</v>
      </c>
      <c r="G314" s="62"/>
      <c r="H314" s="61">
        <f>E314*F314</f>
        <v>0</v>
      </c>
      <c r="I314" s="63"/>
      <c r="J314" s="64"/>
      <c r="K314" s="65"/>
      <c r="L314" s="8"/>
      <c r="N314" s="9"/>
    </row>
    <row r="315" spans="1:36" x14ac:dyDescent="0.2">
      <c r="A315" s="58"/>
      <c r="B315" s="382"/>
      <c r="C315" s="414"/>
      <c r="D315" s="10"/>
      <c r="E315" s="141"/>
      <c r="F315" s="59"/>
      <c r="G315" s="62"/>
      <c r="H315" s="61"/>
      <c r="I315" s="63"/>
      <c r="J315" s="64"/>
      <c r="K315" s="65"/>
      <c r="L315" s="8"/>
      <c r="N315" s="9"/>
    </row>
    <row r="316" spans="1:36" x14ac:dyDescent="0.2">
      <c r="A316" s="58"/>
      <c r="B316" s="382" t="s">
        <v>34</v>
      </c>
      <c r="C316" s="414" t="s">
        <v>137</v>
      </c>
      <c r="D316" s="10" t="s">
        <v>29</v>
      </c>
      <c r="E316" s="141"/>
      <c r="F316" s="150">
        <f>F303*5</f>
        <v>30</v>
      </c>
      <c r="G316" s="62">
        <f>E316*F316</f>
        <v>0</v>
      </c>
      <c r="H316" s="61"/>
      <c r="I316" s="63"/>
      <c r="J316" s="64"/>
      <c r="K316" s="65"/>
      <c r="L316" s="8"/>
      <c r="N316" s="9"/>
    </row>
    <row r="317" spans="1:36" x14ac:dyDescent="0.2">
      <c r="A317" s="58"/>
      <c r="B317" s="377">
        <v>185802114</v>
      </c>
      <c r="C317" s="414" t="s">
        <v>138</v>
      </c>
      <c r="D317" s="10" t="s">
        <v>16</v>
      </c>
      <c r="E317" s="148"/>
      <c r="F317" s="151">
        <f>(F316/100000)</f>
        <v>2.9999999999999997E-4</v>
      </c>
      <c r="G317" s="62"/>
      <c r="H317" s="62">
        <f>E317*F317</f>
        <v>0</v>
      </c>
      <c r="I317" s="144"/>
      <c r="J317" s="64"/>
      <c r="K317" s="65"/>
      <c r="L317" s="8"/>
      <c r="N317" s="9"/>
    </row>
    <row r="318" spans="1:36" ht="25.5" x14ac:dyDescent="0.2">
      <c r="A318" s="58"/>
      <c r="B318" s="382" t="s">
        <v>32</v>
      </c>
      <c r="C318" s="414" t="s">
        <v>158</v>
      </c>
      <c r="D318" s="10" t="s">
        <v>29</v>
      </c>
      <c r="E318" s="148"/>
      <c r="F318" s="142">
        <f>F302</f>
        <v>6</v>
      </c>
      <c r="G318" s="62"/>
      <c r="H318" s="61">
        <f>E318*F318</f>
        <v>0</v>
      </c>
      <c r="I318" s="144"/>
      <c r="J318" s="64"/>
      <c r="K318" s="65"/>
      <c r="L318" s="8"/>
      <c r="N318" s="9"/>
    </row>
    <row r="319" spans="1:36" x14ac:dyDescent="0.2">
      <c r="A319" s="58"/>
      <c r="B319" s="382">
        <v>184102116</v>
      </c>
      <c r="C319" s="414" t="s">
        <v>159</v>
      </c>
      <c r="D319" s="10" t="s">
        <v>31</v>
      </c>
      <c r="E319" s="148"/>
      <c r="F319" s="142">
        <f>F303</f>
        <v>6</v>
      </c>
      <c r="G319" s="62"/>
      <c r="H319" s="61">
        <f>E319*F319</f>
        <v>0</v>
      </c>
      <c r="I319" s="63"/>
      <c r="J319" s="64"/>
      <c r="K319" s="65"/>
      <c r="L319" s="8"/>
      <c r="N319" s="9"/>
    </row>
    <row r="320" spans="1:36" ht="25.5" x14ac:dyDescent="0.2">
      <c r="A320" s="58"/>
      <c r="B320" s="382">
        <v>184215211</v>
      </c>
      <c r="C320" s="414" t="s">
        <v>175</v>
      </c>
      <c r="D320" s="10" t="s">
        <v>31</v>
      </c>
      <c r="E320" s="148"/>
      <c r="F320" s="142">
        <f>F303</f>
        <v>6</v>
      </c>
      <c r="G320" s="62"/>
      <c r="H320" s="61">
        <f>E320*F320</f>
        <v>0</v>
      </c>
      <c r="I320" s="63"/>
      <c r="J320" s="64"/>
      <c r="K320" s="65"/>
      <c r="L320" s="8"/>
      <c r="N320" s="9"/>
    </row>
    <row r="321" spans="1:14" x14ac:dyDescent="0.2">
      <c r="A321" s="58"/>
      <c r="B321" s="382"/>
      <c r="C321" s="414"/>
      <c r="D321" s="10"/>
      <c r="E321" s="141"/>
      <c r="F321" s="59"/>
      <c r="G321" s="62"/>
      <c r="H321" s="61"/>
      <c r="I321" s="63"/>
      <c r="J321" s="64"/>
      <c r="K321" s="65"/>
      <c r="L321" s="8"/>
      <c r="N321" s="9"/>
    </row>
    <row r="322" spans="1:14" s="9" customFormat="1" ht="12.75" x14ac:dyDescent="0.2">
      <c r="A322" s="58"/>
      <c r="B322" s="382">
        <v>184215413</v>
      </c>
      <c r="C322" s="414" t="s">
        <v>113</v>
      </c>
      <c r="D322" s="10" t="s">
        <v>31</v>
      </c>
      <c r="E322" s="152"/>
      <c r="F322" s="10">
        <f>F303</f>
        <v>6</v>
      </c>
      <c r="G322" s="62"/>
      <c r="H322" s="62"/>
      <c r="I322" s="144"/>
      <c r="J322" s="145"/>
      <c r="K322" s="146"/>
      <c r="L322" s="27"/>
    </row>
    <row r="323" spans="1:14" x14ac:dyDescent="0.2">
      <c r="A323" s="58"/>
      <c r="B323" s="382">
        <v>185804311</v>
      </c>
      <c r="C323" s="414" t="s">
        <v>144</v>
      </c>
      <c r="D323" s="10" t="s">
        <v>39</v>
      </c>
      <c r="E323" s="148"/>
      <c r="F323" s="59">
        <f>F303*0.15</f>
        <v>0.89999999999999991</v>
      </c>
      <c r="G323" s="62"/>
      <c r="H323" s="62">
        <f>E323*F323</f>
        <v>0</v>
      </c>
      <c r="I323" s="144"/>
      <c r="J323" s="64"/>
      <c r="K323" s="65"/>
      <c r="L323" s="8"/>
      <c r="N323" s="9"/>
    </row>
    <row r="324" spans="1:14" x14ac:dyDescent="0.2">
      <c r="A324" s="58"/>
      <c r="B324" s="382" t="s">
        <v>32</v>
      </c>
      <c r="C324" s="414" t="s">
        <v>145</v>
      </c>
      <c r="D324" s="10" t="s">
        <v>29</v>
      </c>
      <c r="E324" s="148"/>
      <c r="F324" s="142">
        <f>F303</f>
        <v>6</v>
      </c>
      <c r="G324" s="62"/>
      <c r="H324" s="62">
        <f>E324*F324</f>
        <v>0</v>
      </c>
      <c r="I324" s="144"/>
      <c r="J324" s="145"/>
      <c r="K324" s="146"/>
      <c r="L324" s="8"/>
      <c r="N324" s="9"/>
    </row>
    <row r="325" spans="1:14" x14ac:dyDescent="0.2">
      <c r="A325" s="58"/>
      <c r="B325" s="385">
        <v>998231411</v>
      </c>
      <c r="C325" s="425" t="s">
        <v>94</v>
      </c>
      <c r="D325" s="164" t="s">
        <v>16</v>
      </c>
      <c r="E325" s="183"/>
      <c r="F325" s="166">
        <f>J325</f>
        <v>0.60690000000000011</v>
      </c>
      <c r="G325" s="119"/>
      <c r="H325" s="120">
        <f>E325*F325</f>
        <v>0</v>
      </c>
      <c r="I325" s="136" t="s">
        <v>6</v>
      </c>
      <c r="J325" s="137">
        <f>SUM(J303:J324)</f>
        <v>0.60690000000000011</v>
      </c>
      <c r="K325" s="65"/>
      <c r="L325" s="8"/>
      <c r="N325" s="9"/>
    </row>
    <row r="326" spans="1:14" x14ac:dyDescent="0.2">
      <c r="A326" s="58"/>
      <c r="B326" s="377"/>
      <c r="C326" s="414"/>
      <c r="D326" s="59"/>
      <c r="E326" s="60"/>
      <c r="F326" s="59"/>
      <c r="G326" s="61"/>
      <c r="H326" s="62"/>
      <c r="I326" s="63"/>
      <c r="J326" s="64"/>
      <c r="K326" s="65"/>
      <c r="L326" s="8"/>
      <c r="N326" s="9"/>
    </row>
    <row r="327" spans="1:14" s="28" customFormat="1" ht="25.5" x14ac:dyDescent="0.2">
      <c r="A327" s="22"/>
      <c r="B327" s="375" t="s">
        <v>18</v>
      </c>
      <c r="C327" s="412" t="s">
        <v>120</v>
      </c>
      <c r="D327" s="23"/>
      <c r="E327" s="23" t="s">
        <v>20</v>
      </c>
      <c r="F327" s="24" t="s">
        <v>121</v>
      </c>
      <c r="G327" s="25" t="s">
        <v>22</v>
      </c>
      <c r="H327" s="25" t="s">
        <v>23</v>
      </c>
      <c r="I327" s="26" t="s">
        <v>24</v>
      </c>
      <c r="J327" s="26" t="s">
        <v>25</v>
      </c>
      <c r="K327" s="25" t="s">
        <v>26</v>
      </c>
      <c r="L327" s="27"/>
      <c r="N327" s="9"/>
    </row>
    <row r="328" spans="1:14" x14ac:dyDescent="0.2">
      <c r="A328" s="58"/>
      <c r="B328" s="376" t="s">
        <v>212</v>
      </c>
      <c r="C328" s="413" t="s">
        <v>213</v>
      </c>
      <c r="D328" s="30"/>
      <c r="E328" s="139"/>
      <c r="F328" s="184"/>
      <c r="G328" s="140"/>
      <c r="H328" s="140"/>
      <c r="I328" s="140"/>
      <c r="J328" s="140"/>
      <c r="K328" s="34"/>
      <c r="L328" s="8"/>
      <c r="N328" s="9"/>
    </row>
    <row r="329" spans="1:14" x14ac:dyDescent="0.2">
      <c r="A329" s="58"/>
      <c r="B329" s="376" t="s">
        <v>214</v>
      </c>
      <c r="C329" s="413" t="s">
        <v>215</v>
      </c>
      <c r="D329" s="30" t="s">
        <v>29</v>
      </c>
      <c r="E329" s="139">
        <f>I329/F329</f>
        <v>0</v>
      </c>
      <c r="F329" s="184">
        <f>SUM(F330:F333)</f>
        <v>50</v>
      </c>
      <c r="G329" s="140">
        <f>SUM(G330:G354)</f>
        <v>0</v>
      </c>
      <c r="H329" s="140">
        <f>SUM(H330:H354)</f>
        <v>0</v>
      </c>
      <c r="I329" s="140">
        <f>H329+G329</f>
        <v>0</v>
      </c>
      <c r="J329" s="140">
        <f>I329/100*21</f>
        <v>0</v>
      </c>
      <c r="K329" s="34">
        <f>J329+I329</f>
        <v>0</v>
      </c>
      <c r="L329" s="8"/>
      <c r="N329" s="9"/>
    </row>
    <row r="330" spans="1:14" x14ac:dyDescent="0.2">
      <c r="A330" s="58"/>
      <c r="B330" s="377"/>
      <c r="C330" s="414" t="s">
        <v>216</v>
      </c>
      <c r="D330" s="10" t="s">
        <v>29</v>
      </c>
      <c r="E330" s="185"/>
      <c r="F330" s="150"/>
      <c r="G330" s="61"/>
      <c r="H330" s="62"/>
      <c r="I330" s="144"/>
      <c r="J330" s="64"/>
      <c r="K330" s="65"/>
      <c r="L330" s="133"/>
      <c r="N330" s="9"/>
    </row>
    <row r="331" spans="1:14" x14ac:dyDescent="0.2">
      <c r="A331" s="58"/>
      <c r="B331" s="377" t="s">
        <v>217</v>
      </c>
      <c r="C331" s="423" t="s">
        <v>218</v>
      </c>
      <c r="D331" s="10" t="s">
        <v>29</v>
      </c>
      <c r="E331" s="149"/>
      <c r="F331" s="10">
        <v>20</v>
      </c>
      <c r="G331" s="62">
        <f>E331*F331</f>
        <v>0</v>
      </c>
      <c r="H331" s="62"/>
      <c r="I331" s="144">
        <v>1.4999999999999999E-2</v>
      </c>
      <c r="J331" s="64">
        <f>I331*F331</f>
        <v>0.3</v>
      </c>
      <c r="K331" s="65"/>
      <c r="L331" s="133"/>
      <c r="N331" s="9"/>
    </row>
    <row r="332" spans="1:14" x14ac:dyDescent="0.2">
      <c r="A332" s="58"/>
      <c r="B332" s="377" t="s">
        <v>217</v>
      </c>
      <c r="C332" s="423" t="s">
        <v>219</v>
      </c>
      <c r="D332" s="10" t="s">
        <v>29</v>
      </c>
      <c r="E332" s="149"/>
      <c r="F332" s="10">
        <v>22</v>
      </c>
      <c r="G332" s="62">
        <f>E332*F332</f>
        <v>0</v>
      </c>
      <c r="H332" s="62"/>
      <c r="I332" s="144">
        <v>1.4999999999999999E-2</v>
      </c>
      <c r="J332" s="64">
        <f>I332*F332</f>
        <v>0.32999999999999996</v>
      </c>
      <c r="K332" s="65"/>
      <c r="L332" s="133"/>
      <c r="N332" s="9"/>
    </row>
    <row r="333" spans="1:14" x14ac:dyDescent="0.2">
      <c r="A333" s="58"/>
      <c r="B333" s="377" t="s">
        <v>220</v>
      </c>
      <c r="C333" s="423" t="s">
        <v>690</v>
      </c>
      <c r="D333" s="10" t="s">
        <v>29</v>
      </c>
      <c r="E333" s="149"/>
      <c r="F333" s="10">
        <v>8</v>
      </c>
      <c r="G333" s="62">
        <f>E333*F333</f>
        <v>0</v>
      </c>
      <c r="H333" s="62"/>
      <c r="I333" s="144">
        <v>0.15</v>
      </c>
      <c r="J333" s="64">
        <f>I333*F333</f>
        <v>1.2</v>
      </c>
      <c r="K333" s="65"/>
      <c r="L333" s="133"/>
      <c r="N333" s="9"/>
    </row>
    <row r="334" spans="1:14" x14ac:dyDescent="0.2">
      <c r="A334" s="58"/>
      <c r="B334" s="377" t="s">
        <v>32</v>
      </c>
      <c r="C334" s="414" t="s">
        <v>221</v>
      </c>
      <c r="D334" s="10" t="s">
        <v>29</v>
      </c>
      <c r="E334" s="148"/>
      <c r="F334" s="142">
        <v>50</v>
      </c>
      <c r="G334" s="62"/>
      <c r="H334" s="62">
        <f>E334*F334</f>
        <v>0</v>
      </c>
      <c r="I334" s="144"/>
      <c r="J334" s="64"/>
      <c r="K334" s="65"/>
      <c r="L334" s="133"/>
      <c r="N334" s="9"/>
    </row>
    <row r="335" spans="1:14" ht="38.25" x14ac:dyDescent="0.2">
      <c r="A335" s="58"/>
      <c r="B335" s="377"/>
      <c r="C335" s="414" t="s">
        <v>222</v>
      </c>
      <c r="D335" s="10"/>
      <c r="E335" s="141"/>
      <c r="F335" s="59"/>
      <c r="G335" s="62"/>
      <c r="H335" s="62"/>
      <c r="I335" s="144"/>
      <c r="J335" s="64"/>
      <c r="K335" s="65"/>
      <c r="L335" s="133"/>
      <c r="N335" s="9"/>
    </row>
    <row r="336" spans="1:14" x14ac:dyDescent="0.2">
      <c r="A336" s="58"/>
      <c r="B336" s="377" t="s">
        <v>18</v>
      </c>
      <c r="C336" s="414" t="s">
        <v>223</v>
      </c>
      <c r="D336" s="10" t="s">
        <v>39</v>
      </c>
      <c r="E336" s="141"/>
      <c r="F336" s="59">
        <f>(F331+F332)*0.026</f>
        <v>1.0919999999999999</v>
      </c>
      <c r="G336" s="62"/>
      <c r="H336" s="62"/>
      <c r="I336" s="144"/>
      <c r="J336" s="64"/>
      <c r="K336" s="65"/>
      <c r="L336" s="133"/>
      <c r="N336" s="9"/>
    </row>
    <row r="337" spans="1:14" x14ac:dyDescent="0.2">
      <c r="A337" s="58"/>
      <c r="B337" s="377" t="s">
        <v>18</v>
      </c>
      <c r="C337" s="414" t="s">
        <v>224</v>
      </c>
      <c r="D337" s="10" t="s">
        <v>39</v>
      </c>
      <c r="E337" s="141"/>
      <c r="F337" s="59">
        <f>0.24*F333</f>
        <v>1.92</v>
      </c>
      <c r="G337" s="62"/>
      <c r="H337" s="62"/>
      <c r="I337" s="144"/>
      <c r="J337" s="64"/>
      <c r="K337" s="65"/>
      <c r="L337" s="133"/>
      <c r="N337" s="9"/>
    </row>
    <row r="338" spans="1:14" ht="25.5" x14ac:dyDescent="0.2">
      <c r="A338" s="58"/>
      <c r="B338" s="377" t="s">
        <v>34</v>
      </c>
      <c r="C338" s="414" t="s">
        <v>225</v>
      </c>
      <c r="D338" s="10" t="s">
        <v>39</v>
      </c>
      <c r="E338" s="148"/>
      <c r="F338" s="59">
        <f>SUM(F336:F337)</f>
        <v>3.0119999999999996</v>
      </c>
      <c r="G338" s="62"/>
      <c r="H338" s="62">
        <f>E338*F338</f>
        <v>0</v>
      </c>
      <c r="I338" s="144"/>
      <c r="J338" s="64"/>
      <c r="K338" s="65"/>
      <c r="L338" s="133"/>
      <c r="N338" s="9"/>
    </row>
    <row r="339" spans="1:14" x14ac:dyDescent="0.2">
      <c r="A339" s="58"/>
      <c r="B339" s="377">
        <v>184852321</v>
      </c>
      <c r="C339" s="414" t="s">
        <v>226</v>
      </c>
      <c r="D339" s="10" t="s">
        <v>29</v>
      </c>
      <c r="E339" s="148"/>
      <c r="F339" s="142">
        <f>F333</f>
        <v>8</v>
      </c>
      <c r="G339" s="62"/>
      <c r="H339" s="62">
        <f>E339*F339</f>
        <v>0</v>
      </c>
      <c r="I339" s="144"/>
      <c r="J339" s="64"/>
      <c r="K339" s="65"/>
      <c r="L339" s="133"/>
      <c r="N339" s="9"/>
    </row>
    <row r="340" spans="1:14" x14ac:dyDescent="0.2">
      <c r="A340" s="58"/>
      <c r="B340" s="382">
        <v>184851413</v>
      </c>
      <c r="C340" s="414" t="s">
        <v>227</v>
      </c>
      <c r="D340" s="10" t="s">
        <v>31</v>
      </c>
      <c r="E340" s="141"/>
      <c r="F340" s="142">
        <f>F331+F332</f>
        <v>42</v>
      </c>
      <c r="G340" s="62"/>
      <c r="H340" s="62">
        <f>E340*F340</f>
        <v>0</v>
      </c>
      <c r="I340" s="63"/>
      <c r="J340" s="64"/>
      <c r="K340" s="65"/>
      <c r="L340" s="133"/>
      <c r="N340" s="9"/>
    </row>
    <row r="341" spans="1:14" x14ac:dyDescent="0.2">
      <c r="A341" s="58"/>
      <c r="B341" s="382" t="s">
        <v>34</v>
      </c>
      <c r="C341" s="414" t="s">
        <v>228</v>
      </c>
      <c r="D341" s="10" t="s">
        <v>39</v>
      </c>
      <c r="E341" s="141"/>
      <c r="F341" s="44">
        <f>F338-1</f>
        <v>2.0119999999999996</v>
      </c>
      <c r="G341" s="62">
        <f>E341*F341</f>
        <v>0</v>
      </c>
      <c r="H341" s="62"/>
      <c r="I341" s="63"/>
      <c r="J341" s="64"/>
      <c r="K341" s="65"/>
      <c r="L341" s="133"/>
      <c r="N341" s="9"/>
    </row>
    <row r="342" spans="1:14" ht="25.5" x14ac:dyDescent="0.2">
      <c r="A342" s="58"/>
      <c r="B342" s="382">
        <v>183101315</v>
      </c>
      <c r="C342" s="414" t="s">
        <v>156</v>
      </c>
      <c r="D342" s="10" t="s">
        <v>31</v>
      </c>
      <c r="E342" s="148"/>
      <c r="F342" s="142">
        <f>F333</f>
        <v>8</v>
      </c>
      <c r="G342" s="62"/>
      <c r="H342" s="62">
        <f>E342*F342</f>
        <v>0</v>
      </c>
      <c r="I342" s="63"/>
      <c r="J342" s="64"/>
      <c r="K342" s="65"/>
      <c r="L342" s="133"/>
      <c r="N342" s="9"/>
    </row>
    <row r="343" spans="1:14" ht="25.5" x14ac:dyDescent="0.2">
      <c r="A343" s="58"/>
      <c r="B343" s="377">
        <v>183101313</v>
      </c>
      <c r="C343" s="414" t="s">
        <v>229</v>
      </c>
      <c r="D343" s="10" t="s">
        <v>31</v>
      </c>
      <c r="E343" s="148"/>
      <c r="F343" s="142">
        <f>F331+F332</f>
        <v>42</v>
      </c>
      <c r="G343" s="62"/>
      <c r="H343" s="62">
        <f>E343*F343</f>
        <v>0</v>
      </c>
      <c r="I343" s="63"/>
      <c r="J343" s="64"/>
      <c r="K343" s="65"/>
      <c r="L343" s="133"/>
      <c r="N343" s="9"/>
    </row>
    <row r="344" spans="1:14" x14ac:dyDescent="0.2">
      <c r="A344" s="58"/>
      <c r="B344" s="382">
        <v>184102113</v>
      </c>
      <c r="C344" s="414" t="s">
        <v>109</v>
      </c>
      <c r="D344" s="10" t="s">
        <v>31</v>
      </c>
      <c r="E344" s="148"/>
      <c r="F344" s="142">
        <f>F332+F331</f>
        <v>42</v>
      </c>
      <c r="G344" s="62"/>
      <c r="H344" s="62">
        <f>E344*F344</f>
        <v>0</v>
      </c>
      <c r="I344" s="63"/>
      <c r="J344" s="64"/>
      <c r="K344" s="65"/>
      <c r="L344" s="133"/>
      <c r="N344" s="9"/>
    </row>
    <row r="345" spans="1:14" x14ac:dyDescent="0.2">
      <c r="A345" s="58"/>
      <c r="B345" s="382">
        <v>184102116</v>
      </c>
      <c r="C345" s="414" t="s">
        <v>159</v>
      </c>
      <c r="D345" s="10" t="s">
        <v>31</v>
      </c>
      <c r="E345" s="148"/>
      <c r="F345" s="142">
        <f>F333</f>
        <v>8</v>
      </c>
      <c r="G345" s="62"/>
      <c r="H345" s="62">
        <f>E345*F345</f>
        <v>0</v>
      </c>
      <c r="I345" s="63"/>
      <c r="J345" s="64"/>
      <c r="K345" s="65"/>
      <c r="L345" s="133"/>
      <c r="N345" s="9"/>
    </row>
    <row r="346" spans="1:14" x14ac:dyDescent="0.2">
      <c r="A346" s="58"/>
      <c r="B346" s="382" t="s">
        <v>34</v>
      </c>
      <c r="C346" s="414" t="s">
        <v>137</v>
      </c>
      <c r="D346" s="10" t="s">
        <v>29</v>
      </c>
      <c r="E346" s="141"/>
      <c r="F346" s="150">
        <f>F329*5</f>
        <v>250</v>
      </c>
      <c r="G346" s="62">
        <f>E346*F346</f>
        <v>0</v>
      </c>
      <c r="H346" s="62"/>
      <c r="I346" s="63"/>
      <c r="J346" s="64"/>
      <c r="K346" s="65"/>
      <c r="L346" s="133"/>
      <c r="N346" s="9"/>
    </row>
    <row r="347" spans="1:14" x14ac:dyDescent="0.2">
      <c r="A347" s="58"/>
      <c r="B347" s="377">
        <v>185802114</v>
      </c>
      <c r="C347" s="414" t="s">
        <v>138</v>
      </c>
      <c r="D347" s="10" t="s">
        <v>16</v>
      </c>
      <c r="E347" s="148"/>
      <c r="F347" s="151">
        <f>(F346/100000)</f>
        <v>2.5000000000000001E-3</v>
      </c>
      <c r="G347" s="62"/>
      <c r="H347" s="62">
        <f>E347*F347</f>
        <v>0</v>
      </c>
      <c r="I347" s="144"/>
      <c r="J347" s="64"/>
      <c r="K347" s="65"/>
      <c r="L347" s="133"/>
      <c r="N347" s="9"/>
    </row>
    <row r="348" spans="1:14" x14ac:dyDescent="0.2">
      <c r="A348" s="58"/>
      <c r="B348" s="382" t="s">
        <v>34</v>
      </c>
      <c r="C348" s="414" t="s">
        <v>230</v>
      </c>
      <c r="D348" s="10" t="s">
        <v>29</v>
      </c>
      <c r="E348" s="148"/>
      <c r="F348" s="142">
        <f>F333</f>
        <v>8</v>
      </c>
      <c r="G348" s="62">
        <f>E348*F348</f>
        <v>0</v>
      </c>
      <c r="H348" s="62"/>
      <c r="I348" s="63">
        <v>0.01</v>
      </c>
      <c r="J348" s="64">
        <f>I348*F348</f>
        <v>0.08</v>
      </c>
      <c r="K348" s="65"/>
      <c r="L348" s="186"/>
      <c r="N348" s="9"/>
    </row>
    <row r="349" spans="1:14" x14ac:dyDescent="0.2">
      <c r="A349" s="58"/>
      <c r="B349" s="382">
        <v>184215113</v>
      </c>
      <c r="C349" s="414" t="s">
        <v>231</v>
      </c>
      <c r="D349" s="10" t="s">
        <v>31</v>
      </c>
      <c r="E349" s="148"/>
      <c r="F349" s="142">
        <f>F333</f>
        <v>8</v>
      </c>
      <c r="G349" s="62"/>
      <c r="H349" s="62">
        <f>E349*F349</f>
        <v>0</v>
      </c>
      <c r="I349" s="63"/>
      <c r="J349" s="64"/>
      <c r="K349" s="65"/>
      <c r="L349" s="133"/>
      <c r="N349" s="9"/>
    </row>
    <row r="350" spans="1:14" x14ac:dyDescent="0.2">
      <c r="A350" s="58"/>
      <c r="B350" s="377">
        <v>185804311</v>
      </c>
      <c r="C350" s="414" t="s">
        <v>144</v>
      </c>
      <c r="D350" s="10" t="s">
        <v>39</v>
      </c>
      <c r="E350" s="148"/>
      <c r="F350" s="59">
        <f>F329*0.05</f>
        <v>2.5</v>
      </c>
      <c r="G350" s="62"/>
      <c r="H350" s="62"/>
      <c r="I350" s="144"/>
      <c r="J350" s="64"/>
      <c r="K350" s="65"/>
      <c r="L350" s="133"/>
      <c r="N350" s="9"/>
    </row>
    <row r="351" spans="1:14" x14ac:dyDescent="0.2">
      <c r="A351" s="58"/>
      <c r="B351" s="382">
        <v>184215412</v>
      </c>
      <c r="C351" s="414" t="s">
        <v>232</v>
      </c>
      <c r="D351" s="10" t="s">
        <v>31</v>
      </c>
      <c r="E351" s="141"/>
      <c r="F351" s="142">
        <f>F329</f>
        <v>50</v>
      </c>
      <c r="G351" s="62"/>
      <c r="H351" s="62">
        <f>E351*F351</f>
        <v>0</v>
      </c>
      <c r="I351" s="63"/>
      <c r="J351" s="64"/>
      <c r="K351" s="65"/>
      <c r="L351" s="186"/>
      <c r="N351" s="9"/>
    </row>
    <row r="352" spans="1:14" x14ac:dyDescent="0.2">
      <c r="A352" s="58"/>
      <c r="B352" s="377" t="s">
        <v>34</v>
      </c>
      <c r="C352" s="414" t="s">
        <v>233</v>
      </c>
      <c r="D352" s="10" t="s">
        <v>39</v>
      </c>
      <c r="E352" s="148"/>
      <c r="F352" s="59">
        <f>F353*0.1</f>
        <v>1.3558000000000001</v>
      </c>
      <c r="G352" s="62">
        <f>E352*F352</f>
        <v>0</v>
      </c>
      <c r="H352" s="62"/>
      <c r="I352" s="63"/>
      <c r="J352" s="64"/>
      <c r="K352" s="65"/>
      <c r="L352" s="186"/>
      <c r="N352" s="9"/>
    </row>
    <row r="353" spans="1:14" x14ac:dyDescent="0.2">
      <c r="A353" s="58"/>
      <c r="B353" s="377">
        <v>184911421</v>
      </c>
      <c r="C353" s="414" t="s">
        <v>234</v>
      </c>
      <c r="D353" s="10" t="s">
        <v>66</v>
      </c>
      <c r="E353" s="148"/>
      <c r="F353" s="59">
        <f>(0.159*42)+(0.86*8)</f>
        <v>13.558</v>
      </c>
      <c r="G353" s="179"/>
      <c r="H353" s="61">
        <f>E353*F353</f>
        <v>0</v>
      </c>
      <c r="I353" s="63"/>
      <c r="J353" s="64"/>
      <c r="K353" s="65"/>
      <c r="L353" s="133"/>
      <c r="N353" s="9"/>
    </row>
    <row r="354" spans="1:14" x14ac:dyDescent="0.2">
      <c r="A354" s="58"/>
      <c r="B354" s="380">
        <v>998231411</v>
      </c>
      <c r="C354" s="410" t="s">
        <v>94</v>
      </c>
      <c r="D354" s="13" t="s">
        <v>16</v>
      </c>
      <c r="E354" s="183"/>
      <c r="F354" s="118">
        <f>J354</f>
        <v>1.91</v>
      </c>
      <c r="G354" s="120"/>
      <c r="H354" s="120">
        <f>E354*F354</f>
        <v>0</v>
      </c>
      <c r="I354" s="155" t="s">
        <v>6</v>
      </c>
      <c r="J354" s="137">
        <f>SUM(J330:J350)</f>
        <v>1.91</v>
      </c>
      <c r="K354" s="138"/>
      <c r="L354" s="133"/>
      <c r="N354" s="9"/>
    </row>
    <row r="355" spans="1:14" x14ac:dyDescent="0.2">
      <c r="A355" s="187"/>
      <c r="B355" s="377"/>
      <c r="C355" s="414"/>
      <c r="D355" s="188"/>
      <c r="E355" s="189"/>
      <c r="F355" s="190"/>
      <c r="G355" s="191"/>
      <c r="H355" s="191"/>
      <c r="I355" s="144"/>
      <c r="J355" s="64"/>
      <c r="K355" s="65"/>
      <c r="L355" s="8"/>
      <c r="N355" s="9"/>
    </row>
    <row r="356" spans="1:14" s="28" customFormat="1" ht="25.5" x14ac:dyDescent="0.2">
      <c r="A356" s="22"/>
      <c r="B356" s="375" t="s">
        <v>18</v>
      </c>
      <c r="C356" s="412" t="s">
        <v>120</v>
      </c>
      <c r="D356" s="23"/>
      <c r="E356" s="23" t="s">
        <v>20</v>
      </c>
      <c r="F356" s="24" t="s">
        <v>121</v>
      </c>
      <c r="G356" s="25" t="s">
        <v>22</v>
      </c>
      <c r="H356" s="25" t="s">
        <v>23</v>
      </c>
      <c r="I356" s="26" t="s">
        <v>24</v>
      </c>
      <c r="J356" s="26" t="s">
        <v>25</v>
      </c>
      <c r="K356" s="25" t="s">
        <v>26</v>
      </c>
      <c r="L356" s="27"/>
      <c r="N356" s="9"/>
    </row>
    <row r="357" spans="1:14" x14ac:dyDescent="0.2">
      <c r="A357" s="58"/>
      <c r="B357" s="376" t="s">
        <v>235</v>
      </c>
      <c r="C357" s="413" t="s">
        <v>236</v>
      </c>
      <c r="D357" s="30" t="s">
        <v>29</v>
      </c>
      <c r="E357" s="139">
        <f>I357/F357</f>
        <v>0</v>
      </c>
      <c r="F357" s="184">
        <f>SUM(F358:F360)</f>
        <v>18</v>
      </c>
      <c r="G357" s="140">
        <f>SUM(G358:G371)</f>
        <v>0</v>
      </c>
      <c r="H357" s="140">
        <f>SUM(H358:H371)</f>
        <v>0</v>
      </c>
      <c r="I357" s="140">
        <f>H357+G357</f>
        <v>0</v>
      </c>
      <c r="J357" s="140">
        <f>I357/100*21</f>
        <v>0</v>
      </c>
      <c r="K357" s="34">
        <f>J357+I357</f>
        <v>0</v>
      </c>
      <c r="L357" s="8"/>
      <c r="N357" s="9"/>
    </row>
    <row r="358" spans="1:14" x14ac:dyDescent="0.2">
      <c r="A358" s="58"/>
      <c r="B358" s="377"/>
      <c r="C358" s="414" t="s">
        <v>216</v>
      </c>
      <c r="D358" s="10" t="s">
        <v>29</v>
      </c>
      <c r="E358" s="185"/>
      <c r="F358" s="150"/>
      <c r="G358" s="61"/>
      <c r="H358" s="62"/>
      <c r="I358" s="144"/>
      <c r="J358" s="64"/>
      <c r="K358" s="65"/>
      <c r="L358" s="133"/>
      <c r="N358" s="9"/>
    </row>
    <row r="359" spans="1:14" x14ac:dyDescent="0.2">
      <c r="A359" s="58"/>
      <c r="B359" s="377" t="s">
        <v>217</v>
      </c>
      <c r="C359" s="423" t="s">
        <v>218</v>
      </c>
      <c r="D359" s="10" t="s">
        <v>29</v>
      </c>
      <c r="E359" s="149"/>
      <c r="F359" s="10">
        <v>9</v>
      </c>
      <c r="G359" s="61">
        <f>E359*F359</f>
        <v>0</v>
      </c>
      <c r="H359" s="62"/>
      <c r="I359" s="144">
        <v>1.4999999999999999E-2</v>
      </c>
      <c r="J359" s="64">
        <f>I359*F359</f>
        <v>0.13500000000000001</v>
      </c>
      <c r="K359" s="65"/>
      <c r="L359" s="133"/>
      <c r="N359" s="9"/>
    </row>
    <row r="360" spans="1:14" x14ac:dyDescent="0.2">
      <c r="A360" s="58"/>
      <c r="B360" s="377" t="s">
        <v>217</v>
      </c>
      <c r="C360" s="423" t="s">
        <v>219</v>
      </c>
      <c r="D360" s="10" t="s">
        <v>29</v>
      </c>
      <c r="E360" s="149"/>
      <c r="F360" s="10">
        <v>9</v>
      </c>
      <c r="G360" s="61">
        <f>E360*F360</f>
        <v>0</v>
      </c>
      <c r="H360" s="62"/>
      <c r="I360" s="144">
        <v>1.4999999999999999E-2</v>
      </c>
      <c r="J360" s="64">
        <f>I360*F360</f>
        <v>0.13500000000000001</v>
      </c>
      <c r="K360" s="65"/>
      <c r="L360" s="133"/>
      <c r="N360" s="9"/>
    </row>
    <row r="361" spans="1:14" x14ac:dyDescent="0.2">
      <c r="A361" s="58"/>
      <c r="B361" s="377" t="s">
        <v>32</v>
      </c>
      <c r="C361" s="414" t="s">
        <v>221</v>
      </c>
      <c r="D361" s="10" t="s">
        <v>29</v>
      </c>
      <c r="E361" s="148"/>
      <c r="F361" s="142">
        <f>F357</f>
        <v>18</v>
      </c>
      <c r="G361" s="62"/>
      <c r="H361" s="62">
        <f>E361*F361</f>
        <v>0</v>
      </c>
      <c r="I361" s="144"/>
      <c r="J361" s="64"/>
      <c r="K361" s="65"/>
      <c r="L361" s="133"/>
      <c r="N361" s="9"/>
    </row>
    <row r="362" spans="1:14" ht="38.25" x14ac:dyDescent="0.2">
      <c r="A362" s="58"/>
      <c r="B362" s="377"/>
      <c r="C362" s="414" t="s">
        <v>237</v>
      </c>
      <c r="D362" s="10"/>
      <c r="E362" s="141"/>
      <c r="F362" s="59"/>
      <c r="G362" s="62"/>
      <c r="H362" s="62"/>
      <c r="I362" s="144"/>
      <c r="J362" s="64"/>
      <c r="K362" s="65"/>
      <c r="L362" s="133"/>
      <c r="N362" s="9"/>
    </row>
    <row r="363" spans="1:14" x14ac:dyDescent="0.2">
      <c r="A363" s="58"/>
      <c r="B363" s="377" t="s">
        <v>18</v>
      </c>
      <c r="C363" s="414" t="s">
        <v>223</v>
      </c>
      <c r="D363" s="10" t="s">
        <v>39</v>
      </c>
      <c r="E363" s="141"/>
      <c r="F363" s="59">
        <f>(F359+F360)*0.026</f>
        <v>0.46799999999999997</v>
      </c>
      <c r="G363" s="62"/>
      <c r="H363" s="62"/>
      <c r="I363" s="144"/>
      <c r="J363" s="64"/>
      <c r="K363" s="65"/>
      <c r="L363" s="133"/>
      <c r="N363" s="9"/>
    </row>
    <row r="364" spans="1:14" x14ac:dyDescent="0.2">
      <c r="A364" s="58"/>
      <c r="B364" s="382">
        <v>184851413</v>
      </c>
      <c r="C364" s="414" t="s">
        <v>227</v>
      </c>
      <c r="D364" s="10" t="s">
        <v>31</v>
      </c>
      <c r="E364" s="141"/>
      <c r="F364" s="142">
        <f>F359+F360</f>
        <v>18</v>
      </c>
      <c r="G364" s="61"/>
      <c r="H364" s="61">
        <f>E364*F364</f>
        <v>0</v>
      </c>
      <c r="I364" s="63"/>
      <c r="J364" s="64"/>
      <c r="K364" s="65"/>
      <c r="L364" s="133"/>
      <c r="N364" s="9"/>
    </row>
    <row r="365" spans="1:14" ht="25.5" x14ac:dyDescent="0.2">
      <c r="A365" s="58"/>
      <c r="B365" s="377">
        <v>183101113</v>
      </c>
      <c r="C365" s="414" t="s">
        <v>238</v>
      </c>
      <c r="D365" s="10" t="s">
        <v>31</v>
      </c>
      <c r="E365" s="141"/>
      <c r="F365" s="142">
        <f>F359+F360</f>
        <v>18</v>
      </c>
      <c r="G365" s="61"/>
      <c r="H365" s="61">
        <f>E365*F365</f>
        <v>0</v>
      </c>
      <c r="I365" s="63"/>
      <c r="J365" s="64"/>
      <c r="K365" s="65"/>
      <c r="L365" s="133"/>
      <c r="N365" s="9"/>
    </row>
    <row r="366" spans="1:14" ht="76.5" x14ac:dyDescent="0.2">
      <c r="A366" s="58"/>
      <c r="B366" s="377"/>
      <c r="C366" s="414" t="s">
        <v>239</v>
      </c>
      <c r="D366" s="10"/>
      <c r="E366" s="141"/>
      <c r="F366" s="59"/>
      <c r="G366" s="61"/>
      <c r="H366" s="61"/>
      <c r="I366" s="63"/>
      <c r="J366" s="64"/>
      <c r="K366" s="65"/>
      <c r="L366" s="133"/>
      <c r="N366" s="9"/>
    </row>
    <row r="367" spans="1:14" x14ac:dyDescent="0.2">
      <c r="A367" s="58"/>
      <c r="B367" s="382">
        <v>184102113</v>
      </c>
      <c r="C367" s="414" t="s">
        <v>109</v>
      </c>
      <c r="D367" s="10" t="s">
        <v>31</v>
      </c>
      <c r="E367" s="148"/>
      <c r="F367" s="142">
        <f>F360+F359</f>
        <v>18</v>
      </c>
      <c r="G367" s="61"/>
      <c r="H367" s="61">
        <f>E367*F367</f>
        <v>0</v>
      </c>
      <c r="I367" s="63"/>
      <c r="J367" s="64"/>
      <c r="K367" s="65"/>
      <c r="L367" s="133"/>
      <c r="N367" s="9"/>
    </row>
    <row r="368" spans="1:14" x14ac:dyDescent="0.2">
      <c r="A368" s="58"/>
      <c r="B368" s="382" t="s">
        <v>34</v>
      </c>
      <c r="C368" s="414" t="s">
        <v>137</v>
      </c>
      <c r="D368" s="10" t="s">
        <v>29</v>
      </c>
      <c r="E368" s="141"/>
      <c r="F368" s="150">
        <f>F357*5</f>
        <v>90</v>
      </c>
      <c r="G368" s="61">
        <f>E368*F368</f>
        <v>0</v>
      </c>
      <c r="H368" s="61"/>
      <c r="I368" s="63"/>
      <c r="J368" s="64"/>
      <c r="K368" s="65"/>
      <c r="L368" s="133"/>
      <c r="N368" s="9"/>
    </row>
    <row r="369" spans="1:14" x14ac:dyDescent="0.2">
      <c r="A369" s="58"/>
      <c r="B369" s="377">
        <v>185802114</v>
      </c>
      <c r="C369" s="414" t="s">
        <v>138</v>
      </c>
      <c r="D369" s="10" t="s">
        <v>16</v>
      </c>
      <c r="E369" s="148"/>
      <c r="F369" s="151">
        <f>(F368/100000)</f>
        <v>8.9999999999999998E-4</v>
      </c>
      <c r="G369" s="62"/>
      <c r="H369" s="62">
        <f>E369*F369</f>
        <v>0</v>
      </c>
      <c r="I369" s="144"/>
      <c r="J369" s="64"/>
      <c r="K369" s="65"/>
      <c r="L369" s="133"/>
      <c r="N369" s="9"/>
    </row>
    <row r="370" spans="1:14" x14ac:dyDescent="0.2">
      <c r="A370" s="187"/>
      <c r="B370" s="377">
        <v>185804311</v>
      </c>
      <c r="C370" s="414" t="s">
        <v>144</v>
      </c>
      <c r="D370" s="188" t="s">
        <v>39</v>
      </c>
      <c r="E370" s="192"/>
      <c r="F370" s="190">
        <f>F357*0.05</f>
        <v>0.9</v>
      </c>
      <c r="G370" s="191"/>
      <c r="H370" s="191"/>
      <c r="I370" s="144"/>
      <c r="J370" s="64"/>
      <c r="K370" s="65"/>
      <c r="L370" s="8"/>
      <c r="N370" s="9"/>
    </row>
    <row r="371" spans="1:14" x14ac:dyDescent="0.2">
      <c r="A371" s="187"/>
      <c r="B371" s="380">
        <v>998231411</v>
      </c>
      <c r="C371" s="410" t="s">
        <v>94</v>
      </c>
      <c r="D371" s="193" t="s">
        <v>16</v>
      </c>
      <c r="E371" s="194"/>
      <c r="F371" s="195">
        <f>J371</f>
        <v>0.27</v>
      </c>
      <c r="G371" s="196"/>
      <c r="H371" s="196">
        <f>E371*F371</f>
        <v>0</v>
      </c>
      <c r="I371" s="155" t="s">
        <v>6</v>
      </c>
      <c r="J371" s="137">
        <f>SUM(J358:J370)</f>
        <v>0.27</v>
      </c>
      <c r="K371" s="138"/>
      <c r="L371" s="8"/>
      <c r="N371" s="9"/>
    </row>
    <row r="372" spans="1:14" x14ac:dyDescent="0.2">
      <c r="A372" s="58"/>
      <c r="B372" s="377"/>
      <c r="C372" s="417"/>
      <c r="D372" s="59"/>
      <c r="E372" s="60"/>
      <c r="F372" s="59"/>
      <c r="G372" s="61"/>
      <c r="H372" s="62"/>
      <c r="I372" s="63"/>
      <c r="J372" s="64"/>
      <c r="K372" s="65"/>
      <c r="L372" s="8"/>
      <c r="N372" s="9"/>
    </row>
    <row r="373" spans="1:14" s="28" customFormat="1" ht="25.5" x14ac:dyDescent="0.2">
      <c r="A373" s="22"/>
      <c r="B373" s="375" t="s">
        <v>18</v>
      </c>
      <c r="C373" s="412" t="s">
        <v>120</v>
      </c>
      <c r="D373" s="23"/>
      <c r="E373" s="23" t="s">
        <v>20</v>
      </c>
      <c r="F373" s="24" t="s">
        <v>121</v>
      </c>
      <c r="G373" s="25" t="s">
        <v>22</v>
      </c>
      <c r="H373" s="25" t="s">
        <v>23</v>
      </c>
      <c r="I373" s="26" t="s">
        <v>24</v>
      </c>
      <c r="J373" s="26" t="s">
        <v>25</v>
      </c>
      <c r="K373" s="25" t="s">
        <v>26</v>
      </c>
      <c r="L373" s="27"/>
      <c r="N373" s="9"/>
    </row>
    <row r="374" spans="1:14" x14ac:dyDescent="0.2">
      <c r="A374" s="58"/>
      <c r="B374" s="376" t="s">
        <v>240</v>
      </c>
      <c r="C374" s="413" t="s">
        <v>241</v>
      </c>
      <c r="D374" s="30"/>
      <c r="E374" s="197"/>
      <c r="F374" s="184"/>
      <c r="G374" s="140"/>
      <c r="H374" s="140"/>
      <c r="I374" s="140"/>
      <c r="J374" s="140"/>
      <c r="K374" s="34"/>
      <c r="L374" s="8"/>
      <c r="N374" s="9"/>
    </row>
    <row r="375" spans="1:14" ht="15" x14ac:dyDescent="0.2">
      <c r="A375" s="58"/>
      <c r="B375" s="376" t="s">
        <v>242</v>
      </c>
      <c r="C375" s="413" t="s">
        <v>243</v>
      </c>
      <c r="D375" s="30" t="s">
        <v>244</v>
      </c>
      <c r="E375" s="139">
        <f>I375/F375</f>
        <v>0</v>
      </c>
      <c r="F375" s="184">
        <v>3936</v>
      </c>
      <c r="G375" s="140">
        <f>SUM(G376:G432)</f>
        <v>0</v>
      </c>
      <c r="H375" s="140">
        <f>SUM(H376:H432)</f>
        <v>0</v>
      </c>
      <c r="I375" s="140">
        <f>H375+G375</f>
        <v>0</v>
      </c>
      <c r="J375" s="140">
        <f>I375/100*21</f>
        <v>0</v>
      </c>
      <c r="K375" s="34">
        <f>J375+I375</f>
        <v>0</v>
      </c>
      <c r="L375" s="8"/>
      <c r="N375" s="9"/>
    </row>
    <row r="376" spans="1:14" x14ac:dyDescent="0.2">
      <c r="A376" s="58"/>
      <c r="B376" s="382" t="s">
        <v>18</v>
      </c>
      <c r="C376" s="422" t="s">
        <v>245</v>
      </c>
      <c r="D376" s="112" t="s">
        <v>29</v>
      </c>
      <c r="E376" s="158"/>
      <c r="F376" s="150">
        <f>'RM VV'!D64</f>
        <v>35884</v>
      </c>
      <c r="G376" s="61"/>
      <c r="H376" s="61"/>
      <c r="I376" s="63"/>
      <c r="J376" s="64"/>
      <c r="K376" s="65"/>
      <c r="L376" s="8"/>
      <c r="N376" s="9"/>
    </row>
    <row r="377" spans="1:14" x14ac:dyDescent="0.2">
      <c r="A377" s="58"/>
      <c r="B377" s="382" t="s">
        <v>34</v>
      </c>
      <c r="C377" s="422" t="s">
        <v>246</v>
      </c>
      <c r="D377" s="112" t="s">
        <v>29</v>
      </c>
      <c r="E377" s="159"/>
      <c r="F377" s="150">
        <f>'RM VV'!B64</f>
        <v>29843</v>
      </c>
      <c r="G377" s="61">
        <f>E377*F377</f>
        <v>0</v>
      </c>
      <c r="H377" s="61"/>
      <c r="I377" s="63">
        <v>2.9999999999999997E-4</v>
      </c>
      <c r="J377" s="145">
        <f>I377*F377</f>
        <v>8.9528999999999996</v>
      </c>
      <c r="K377" s="146"/>
      <c r="L377" s="8"/>
      <c r="N377" s="9"/>
    </row>
    <row r="378" spans="1:14" x14ac:dyDescent="0.2">
      <c r="A378" s="58"/>
      <c r="B378" s="382" t="s">
        <v>34</v>
      </c>
      <c r="C378" s="422" t="s">
        <v>247</v>
      </c>
      <c r="D378" s="112" t="s">
        <v>29</v>
      </c>
      <c r="E378" s="159"/>
      <c r="F378" s="150">
        <f>'RM VV'!C64</f>
        <v>6041</v>
      </c>
      <c r="G378" s="61">
        <f>E378*F378</f>
        <v>0</v>
      </c>
      <c r="H378" s="61"/>
      <c r="I378" s="63">
        <v>2.9999999999999997E-4</v>
      </c>
      <c r="J378" s="145">
        <f>I378*F378</f>
        <v>1.8122999999999998</v>
      </c>
      <c r="K378" s="146"/>
      <c r="L378" s="8"/>
      <c r="N378" s="9"/>
    </row>
    <row r="379" spans="1:14" x14ac:dyDescent="0.2">
      <c r="A379" s="58"/>
      <c r="B379" s="382" t="s">
        <v>18</v>
      </c>
      <c r="C379" s="422" t="s">
        <v>248</v>
      </c>
      <c r="D379" s="112" t="s">
        <v>29</v>
      </c>
      <c r="E379" s="159"/>
      <c r="F379" s="150"/>
      <c r="G379" s="61"/>
      <c r="H379" s="61"/>
      <c r="I379" s="198"/>
      <c r="J379" s="145"/>
      <c r="K379" s="146"/>
      <c r="L379" s="8"/>
      <c r="N379" s="9"/>
    </row>
    <row r="380" spans="1:14" x14ac:dyDescent="0.2">
      <c r="A380" s="58"/>
      <c r="B380" s="382" t="s">
        <v>34</v>
      </c>
      <c r="C380" s="414" t="s">
        <v>249</v>
      </c>
      <c r="D380" s="10" t="s">
        <v>29</v>
      </c>
      <c r="E380" s="149"/>
      <c r="F380" s="150">
        <f>'RM VV'!B80</f>
        <v>10035</v>
      </c>
      <c r="G380" s="61">
        <f>E380*F380</f>
        <v>0</v>
      </c>
      <c r="H380" s="61"/>
      <c r="I380" s="198">
        <v>4.0000000000000003E-5</v>
      </c>
      <c r="J380" s="145">
        <f>I380*F380</f>
        <v>0.40140000000000003</v>
      </c>
      <c r="K380" s="146"/>
      <c r="L380" s="8"/>
      <c r="N380" s="9"/>
    </row>
    <row r="381" spans="1:14" x14ac:dyDescent="0.2">
      <c r="A381" s="58"/>
      <c r="B381" s="382" t="s">
        <v>34</v>
      </c>
      <c r="C381" s="414" t="s">
        <v>250</v>
      </c>
      <c r="D381" s="10" t="s">
        <v>29</v>
      </c>
      <c r="E381" s="149"/>
      <c r="F381" s="150">
        <f>'RM VV'!C80</f>
        <v>55725</v>
      </c>
      <c r="G381" s="61">
        <f>E381*F381</f>
        <v>0</v>
      </c>
      <c r="H381" s="61"/>
      <c r="I381" s="198">
        <v>4.0000000000000003E-5</v>
      </c>
      <c r="J381" s="145">
        <f>I381*F381</f>
        <v>2.2290000000000001</v>
      </c>
      <c r="K381" s="146"/>
      <c r="L381" s="8"/>
      <c r="N381" s="9"/>
    </row>
    <row r="382" spans="1:14" x14ac:dyDescent="0.2">
      <c r="A382" s="58"/>
      <c r="B382" s="382" t="s">
        <v>32</v>
      </c>
      <c r="C382" s="414" t="s">
        <v>251</v>
      </c>
      <c r="D382" s="10" t="s">
        <v>66</v>
      </c>
      <c r="E382" s="149"/>
      <c r="F382" s="150">
        <f>F375</f>
        <v>3936</v>
      </c>
      <c r="G382" s="61"/>
      <c r="H382" s="61">
        <f>E382*F382</f>
        <v>0</v>
      </c>
      <c r="I382" s="63"/>
      <c r="J382" s="145"/>
      <c r="K382" s="146"/>
      <c r="L382" s="8"/>
      <c r="N382" s="9"/>
    </row>
    <row r="383" spans="1:14" ht="25.5" x14ac:dyDescent="0.2">
      <c r="A383" s="58"/>
      <c r="B383" s="382">
        <v>184802111</v>
      </c>
      <c r="C383" s="414" t="s">
        <v>252</v>
      </c>
      <c r="D383" s="10" t="s">
        <v>66</v>
      </c>
      <c r="E383" s="185"/>
      <c r="F383" s="112">
        <f>F375*2*0.25</f>
        <v>1968</v>
      </c>
      <c r="G383" s="61"/>
      <c r="H383" s="61">
        <f>E383*F383</f>
        <v>0</v>
      </c>
      <c r="I383" s="63"/>
      <c r="J383" s="145"/>
      <c r="K383" s="146"/>
      <c r="L383" s="8"/>
      <c r="N383" s="9"/>
    </row>
    <row r="384" spans="1:14" x14ac:dyDescent="0.2">
      <c r="A384" s="58"/>
      <c r="B384" s="382" t="s">
        <v>34</v>
      </c>
      <c r="C384" s="414" t="s">
        <v>253</v>
      </c>
      <c r="D384" s="10" t="s">
        <v>36</v>
      </c>
      <c r="E384" s="149"/>
      <c r="F384" s="112">
        <f>(F383/100)*0.2</f>
        <v>3.9359999999999999</v>
      </c>
      <c r="G384" s="61">
        <f>E384*F384</f>
        <v>0</v>
      </c>
      <c r="H384" s="61"/>
      <c r="I384" s="63"/>
      <c r="J384" s="145"/>
      <c r="K384" s="146"/>
      <c r="L384" s="8"/>
      <c r="N384" s="9"/>
    </row>
    <row r="385" spans="1:18" ht="89.25" x14ac:dyDescent="0.2">
      <c r="A385" s="58"/>
      <c r="B385" s="382"/>
      <c r="C385" s="414" t="s">
        <v>254</v>
      </c>
      <c r="D385" s="10"/>
      <c r="E385" s="152"/>
      <c r="F385" s="112"/>
      <c r="G385" s="61"/>
      <c r="H385" s="61"/>
      <c r="I385" s="63"/>
      <c r="J385" s="145"/>
      <c r="K385" s="146"/>
      <c r="L385" s="8"/>
      <c r="N385" s="9"/>
    </row>
    <row r="386" spans="1:18" x14ac:dyDescent="0.2">
      <c r="A386" s="58"/>
      <c r="B386" s="382" t="s">
        <v>18</v>
      </c>
      <c r="C386" s="414" t="s">
        <v>255</v>
      </c>
      <c r="D386" s="10"/>
      <c r="E386" s="152"/>
      <c r="F386" s="150"/>
      <c r="G386" s="61"/>
      <c r="H386" s="61"/>
      <c r="I386" s="63"/>
      <c r="J386" s="145"/>
      <c r="K386" s="146"/>
      <c r="L386" s="8"/>
      <c r="N386" s="9"/>
    </row>
    <row r="387" spans="1:18" ht="25.5" x14ac:dyDescent="0.2">
      <c r="A387" s="58"/>
      <c r="B387" s="382">
        <v>111151421</v>
      </c>
      <c r="C387" s="414" t="s">
        <v>256</v>
      </c>
      <c r="D387" s="10" t="s">
        <v>66</v>
      </c>
      <c r="E387" s="185"/>
      <c r="F387" s="150">
        <f>F375</f>
        <v>3936</v>
      </c>
      <c r="G387" s="61"/>
      <c r="H387" s="61">
        <f>E387*F387</f>
        <v>0</v>
      </c>
      <c r="I387" s="63"/>
      <c r="J387" s="145"/>
      <c r="K387" s="146"/>
      <c r="L387" s="8"/>
      <c r="N387" s="9"/>
    </row>
    <row r="388" spans="1:18" x14ac:dyDescent="0.2">
      <c r="A388" s="58"/>
      <c r="B388" s="377" t="s">
        <v>90</v>
      </c>
      <c r="C388" s="414" t="s">
        <v>257</v>
      </c>
      <c r="D388" s="10" t="s">
        <v>39</v>
      </c>
      <c r="E388" s="149"/>
      <c r="F388" s="10">
        <f>F375*0.03</f>
        <v>118.08</v>
      </c>
      <c r="G388" s="62"/>
      <c r="H388" s="62">
        <f>E388*F388</f>
        <v>0</v>
      </c>
      <c r="I388" s="144"/>
      <c r="J388" s="145"/>
      <c r="K388" s="146"/>
      <c r="L388" s="8"/>
      <c r="N388" s="9"/>
    </row>
    <row r="389" spans="1:18" x14ac:dyDescent="0.2">
      <c r="A389" s="58"/>
      <c r="B389" s="377">
        <v>183403113</v>
      </c>
      <c r="C389" s="414" t="s">
        <v>258</v>
      </c>
      <c r="D389" s="10" t="s">
        <v>66</v>
      </c>
      <c r="E389" s="185"/>
      <c r="F389" s="150">
        <f>F375</f>
        <v>3936</v>
      </c>
      <c r="G389" s="62"/>
      <c r="H389" s="62">
        <f>E389*F389</f>
        <v>0</v>
      </c>
      <c r="I389" s="144"/>
      <c r="J389" s="145"/>
      <c r="K389" s="146"/>
      <c r="L389" s="8"/>
      <c r="N389" s="9"/>
    </row>
    <row r="390" spans="1:18" x14ac:dyDescent="0.2">
      <c r="A390" s="58"/>
      <c r="B390" s="377" t="s">
        <v>34</v>
      </c>
      <c r="C390" s="414" t="s">
        <v>259</v>
      </c>
      <c r="D390" s="10" t="s">
        <v>39</v>
      </c>
      <c r="E390" s="149"/>
      <c r="F390" s="10">
        <f>F375*0.05</f>
        <v>196.8</v>
      </c>
      <c r="G390" s="62">
        <f>E390*F390</f>
        <v>0</v>
      </c>
      <c r="H390" s="62"/>
      <c r="I390" s="144"/>
      <c r="J390" s="145"/>
      <c r="K390" s="146"/>
      <c r="L390" s="8"/>
      <c r="N390" s="9"/>
    </row>
    <row r="391" spans="1:18" ht="25.5" x14ac:dyDescent="0.2">
      <c r="A391" s="58"/>
      <c r="B391" s="382">
        <v>181351113</v>
      </c>
      <c r="C391" s="414" t="s">
        <v>260</v>
      </c>
      <c r="D391" s="10" t="s">
        <v>66</v>
      </c>
      <c r="E391" s="141"/>
      <c r="F391" s="150">
        <f>F375</f>
        <v>3936</v>
      </c>
      <c r="G391" s="62"/>
      <c r="H391" s="62">
        <f>E391*F391</f>
        <v>0</v>
      </c>
      <c r="I391" s="144"/>
      <c r="J391" s="145"/>
      <c r="K391" s="146"/>
      <c r="L391" s="8"/>
      <c r="N391" s="9"/>
    </row>
    <row r="392" spans="1:18" ht="25.5" x14ac:dyDescent="0.2">
      <c r="A392" s="58"/>
      <c r="B392" s="377">
        <v>183403114</v>
      </c>
      <c r="C392" s="414" t="s">
        <v>261</v>
      </c>
      <c r="D392" s="10" t="s">
        <v>66</v>
      </c>
      <c r="E392" s="141"/>
      <c r="F392" s="150">
        <f>F375*4</f>
        <v>15744</v>
      </c>
      <c r="G392" s="62"/>
      <c r="H392" s="62">
        <f>E392*F392</f>
        <v>0</v>
      </c>
      <c r="I392" s="144"/>
      <c r="J392" s="145"/>
      <c r="K392" s="146"/>
      <c r="L392" s="8"/>
      <c r="N392" s="9"/>
    </row>
    <row r="393" spans="1:18" x14ac:dyDescent="0.2">
      <c r="A393" s="58"/>
      <c r="B393" s="377" t="s">
        <v>34</v>
      </c>
      <c r="C393" s="414" t="s">
        <v>262</v>
      </c>
      <c r="D393" s="10" t="s">
        <v>39</v>
      </c>
      <c r="E393" s="148"/>
      <c r="F393" s="59">
        <f>F382*0.05</f>
        <v>196.8</v>
      </c>
      <c r="G393" s="62">
        <f>E393*F393</f>
        <v>0</v>
      </c>
      <c r="H393" s="62"/>
      <c r="I393" s="144"/>
      <c r="J393" s="145"/>
      <c r="K393" s="146"/>
      <c r="L393" s="8"/>
      <c r="N393" s="9"/>
    </row>
    <row r="394" spans="1:18" ht="25.5" x14ac:dyDescent="0.2">
      <c r="A394" s="58"/>
      <c r="B394" s="382">
        <v>181351113</v>
      </c>
      <c r="C394" s="414" t="s">
        <v>260</v>
      </c>
      <c r="D394" s="10" t="s">
        <v>66</v>
      </c>
      <c r="E394" s="141"/>
      <c r="F394" s="150">
        <f>F375</f>
        <v>3936</v>
      </c>
      <c r="G394" s="62"/>
      <c r="H394" s="61">
        <f>E394*F394</f>
        <v>0</v>
      </c>
      <c r="I394" s="144"/>
      <c r="J394" s="145"/>
      <c r="K394" s="146"/>
      <c r="L394" s="8"/>
      <c r="N394" s="9"/>
    </row>
    <row r="395" spans="1:18" ht="25.5" x14ac:dyDescent="0.2">
      <c r="A395" s="58"/>
      <c r="B395" s="377">
        <v>183403114</v>
      </c>
      <c r="C395" s="414" t="s">
        <v>261</v>
      </c>
      <c r="D395" s="10" t="s">
        <v>66</v>
      </c>
      <c r="E395" s="141"/>
      <c r="F395" s="150">
        <f>F375*4</f>
        <v>15744</v>
      </c>
      <c r="G395" s="61"/>
      <c r="H395" s="61">
        <f>E395*F395</f>
        <v>0</v>
      </c>
      <c r="I395" s="63"/>
      <c r="J395" s="145"/>
      <c r="K395" s="146"/>
      <c r="L395" s="8"/>
      <c r="N395" s="9"/>
    </row>
    <row r="396" spans="1:18" ht="38.25" x14ac:dyDescent="0.2">
      <c r="A396" s="58"/>
      <c r="B396" s="377">
        <v>183403111</v>
      </c>
      <c r="C396" s="414" t="s">
        <v>263</v>
      </c>
      <c r="D396" s="10" t="s">
        <v>66</v>
      </c>
      <c r="E396" s="141"/>
      <c r="F396" s="150">
        <f>F375*0.2</f>
        <v>787.2</v>
      </c>
      <c r="G396" s="61"/>
      <c r="H396" s="61">
        <f>E396*F396</f>
        <v>0</v>
      </c>
      <c r="I396" s="63"/>
      <c r="J396" s="145"/>
      <c r="K396" s="146"/>
      <c r="L396" s="199"/>
      <c r="N396" s="9"/>
    </row>
    <row r="397" spans="1:18" x14ac:dyDescent="0.2">
      <c r="A397" s="58"/>
      <c r="B397" s="382">
        <v>183403153</v>
      </c>
      <c r="C397" s="414" t="s">
        <v>264</v>
      </c>
      <c r="D397" s="10" t="s">
        <v>66</v>
      </c>
      <c r="E397" s="141"/>
      <c r="F397" s="150">
        <f>F375</f>
        <v>3936</v>
      </c>
      <c r="G397" s="61"/>
      <c r="H397" s="61">
        <f>E397*F397</f>
        <v>0</v>
      </c>
      <c r="I397" s="63"/>
      <c r="J397" s="145"/>
      <c r="K397" s="146"/>
      <c r="L397" s="199"/>
      <c r="N397" s="9"/>
    </row>
    <row r="398" spans="1:18" x14ac:dyDescent="0.2">
      <c r="A398" s="58"/>
      <c r="B398" s="382" t="s">
        <v>18</v>
      </c>
      <c r="C398" s="414" t="s">
        <v>265</v>
      </c>
      <c r="D398" s="10" t="s">
        <v>66</v>
      </c>
      <c r="E398" s="141"/>
      <c r="F398" s="150">
        <f>F375/100*15</f>
        <v>590.4</v>
      </c>
      <c r="G398" s="61"/>
      <c r="H398" s="61"/>
      <c r="I398" s="63"/>
      <c r="J398" s="145"/>
      <c r="K398" s="146"/>
      <c r="L398" s="199"/>
      <c r="N398" s="9"/>
    </row>
    <row r="399" spans="1:18" s="9" customFormat="1" ht="12.75" x14ac:dyDescent="0.2">
      <c r="A399" s="58"/>
      <c r="B399" s="382" t="s">
        <v>32</v>
      </c>
      <c r="C399" s="414" t="s">
        <v>266</v>
      </c>
      <c r="D399" s="10" t="s">
        <v>39</v>
      </c>
      <c r="E399" s="148"/>
      <c r="F399" s="150">
        <v>30</v>
      </c>
      <c r="G399" s="61"/>
      <c r="H399" s="61">
        <f>E399*F399</f>
        <v>0</v>
      </c>
      <c r="I399" s="63"/>
      <c r="J399" s="145"/>
      <c r="K399" s="146"/>
      <c r="L399" s="199"/>
    </row>
    <row r="400" spans="1:18" s="9" customFormat="1" ht="12.75" x14ac:dyDescent="0.2">
      <c r="A400" s="58"/>
      <c r="B400" s="382" t="s">
        <v>32</v>
      </c>
      <c r="C400" s="414" t="s">
        <v>267</v>
      </c>
      <c r="D400" s="10" t="s">
        <v>39</v>
      </c>
      <c r="E400" s="148"/>
      <c r="F400" s="150">
        <v>12</v>
      </c>
      <c r="G400" s="61"/>
      <c r="H400" s="61">
        <f>E400*F400</f>
        <v>0</v>
      </c>
      <c r="I400" s="63"/>
      <c r="J400" s="145"/>
      <c r="K400" s="146"/>
      <c r="L400" s="27"/>
      <c r="M400" s="82"/>
      <c r="O400" s="82"/>
      <c r="P400" s="82"/>
      <c r="Q400" s="82"/>
      <c r="R400" s="82"/>
    </row>
    <row r="401" spans="1:18" s="9" customFormat="1" ht="25.5" x14ac:dyDescent="0.2">
      <c r="A401" s="58"/>
      <c r="B401" s="377" t="s">
        <v>18</v>
      </c>
      <c r="C401" s="414" t="s">
        <v>268</v>
      </c>
      <c r="D401" s="10" t="s">
        <v>269</v>
      </c>
      <c r="E401" s="185"/>
      <c r="F401" s="150">
        <v>303</v>
      </c>
      <c r="G401" s="62"/>
      <c r="H401" s="62"/>
      <c r="I401" s="144"/>
      <c r="J401" s="145"/>
      <c r="K401" s="146"/>
      <c r="L401" s="27"/>
      <c r="M401" s="82"/>
      <c r="O401" s="82"/>
      <c r="P401" s="82"/>
      <c r="Q401" s="82"/>
      <c r="R401" s="82"/>
    </row>
    <row r="402" spans="1:18" s="9" customFormat="1" ht="12.75" x14ac:dyDescent="0.2">
      <c r="A402" s="58"/>
      <c r="B402" s="382" t="s">
        <v>34</v>
      </c>
      <c r="C402" s="414" t="s">
        <v>270</v>
      </c>
      <c r="D402" s="18" t="s">
        <v>269</v>
      </c>
      <c r="E402" s="200"/>
      <c r="F402" s="201">
        <f>F401*1.05</f>
        <v>318.15000000000003</v>
      </c>
      <c r="G402" s="40">
        <f>E402*F402</f>
        <v>0</v>
      </c>
      <c r="H402" s="40"/>
      <c r="I402" s="41">
        <v>4.8500000000000001E-3</v>
      </c>
      <c r="J402" s="145">
        <f>I402*F402</f>
        <v>1.5430275000000002</v>
      </c>
      <c r="K402" s="146"/>
      <c r="L402" s="27"/>
      <c r="M402" s="82"/>
      <c r="O402" s="82"/>
      <c r="P402" s="82"/>
      <c r="Q402" s="82"/>
      <c r="R402" s="82"/>
    </row>
    <row r="403" spans="1:18" s="9" customFormat="1" ht="12.75" x14ac:dyDescent="0.2">
      <c r="A403" s="18"/>
      <c r="B403" s="382" t="s">
        <v>34</v>
      </c>
      <c r="C403" s="414" t="s">
        <v>271</v>
      </c>
      <c r="D403" s="18" t="s">
        <v>269</v>
      </c>
      <c r="E403" s="200"/>
      <c r="F403" s="201">
        <f>F402/0.7*0.6</f>
        <v>272.70000000000005</v>
      </c>
      <c r="G403" s="40">
        <f>E403*F403</f>
        <v>0</v>
      </c>
      <c r="H403" s="40"/>
      <c r="I403" s="41">
        <v>6.2E-4</v>
      </c>
      <c r="J403" s="145">
        <f>I403*F403</f>
        <v>0.16907400000000003</v>
      </c>
      <c r="K403" s="146"/>
      <c r="L403" s="27"/>
      <c r="M403" s="82"/>
      <c r="O403" s="82"/>
      <c r="P403" s="82"/>
      <c r="Q403" s="82"/>
      <c r="R403" s="82"/>
    </row>
    <row r="404" spans="1:18" s="9" customFormat="1" ht="12.75" x14ac:dyDescent="0.2">
      <c r="A404" s="18"/>
      <c r="B404" s="382" t="s">
        <v>32</v>
      </c>
      <c r="C404" s="414" t="s">
        <v>272</v>
      </c>
      <c r="D404" s="18" t="s">
        <v>269</v>
      </c>
      <c r="E404" s="200"/>
      <c r="F404" s="150">
        <f>F401</f>
        <v>303</v>
      </c>
      <c r="G404" s="40"/>
      <c r="H404" s="40">
        <f>E404*F404</f>
        <v>0</v>
      </c>
      <c r="I404" s="41"/>
      <c r="J404" s="145"/>
      <c r="K404" s="146"/>
      <c r="L404" s="27"/>
      <c r="M404" s="82"/>
      <c r="O404" s="82"/>
      <c r="P404" s="82"/>
      <c r="Q404" s="82"/>
      <c r="R404" s="82"/>
    </row>
    <row r="405" spans="1:18" s="9" customFormat="1" ht="25.5" x14ac:dyDescent="0.2">
      <c r="A405" s="58"/>
      <c r="B405" s="382">
        <v>183111111</v>
      </c>
      <c r="C405" s="414" t="s">
        <v>273</v>
      </c>
      <c r="D405" s="10" t="s">
        <v>31</v>
      </c>
      <c r="E405" s="141"/>
      <c r="F405" s="150">
        <f>F377</f>
        <v>29843</v>
      </c>
      <c r="G405" s="61"/>
      <c r="H405" s="61">
        <f>E405*F405</f>
        <v>0</v>
      </c>
      <c r="I405" s="63"/>
      <c r="J405" s="145"/>
      <c r="K405" s="146"/>
      <c r="L405" s="27"/>
      <c r="M405" s="82"/>
      <c r="O405" s="82"/>
      <c r="P405" s="82"/>
      <c r="Q405" s="82"/>
      <c r="R405" s="82"/>
    </row>
    <row r="406" spans="1:18" s="82" customFormat="1" ht="12.75" x14ac:dyDescent="0.2">
      <c r="A406" s="58"/>
      <c r="B406" s="382">
        <v>183211322</v>
      </c>
      <c r="C406" s="414" t="s">
        <v>274</v>
      </c>
      <c r="D406" s="10" t="s">
        <v>31</v>
      </c>
      <c r="E406" s="141"/>
      <c r="F406" s="150">
        <f>F405</f>
        <v>29843</v>
      </c>
      <c r="G406" s="61"/>
      <c r="H406" s="61">
        <f>E406*F406</f>
        <v>0</v>
      </c>
      <c r="I406" s="63"/>
      <c r="J406" s="145"/>
      <c r="K406" s="146"/>
      <c r="L406" s="27"/>
      <c r="N406" s="9"/>
    </row>
    <row r="407" spans="1:18" s="82" customFormat="1" ht="25.5" x14ac:dyDescent="0.2">
      <c r="A407" s="58"/>
      <c r="B407" s="382">
        <v>183111112</v>
      </c>
      <c r="C407" s="414" t="s">
        <v>275</v>
      </c>
      <c r="D407" s="10" t="s">
        <v>31</v>
      </c>
      <c r="E407" s="141"/>
      <c r="F407" s="150">
        <f>F378</f>
        <v>6041</v>
      </c>
      <c r="G407" s="61"/>
      <c r="H407" s="61">
        <f>E407*F407</f>
        <v>0</v>
      </c>
      <c r="I407" s="63"/>
      <c r="J407" s="145"/>
      <c r="K407" s="146"/>
      <c r="L407" s="27"/>
      <c r="N407" s="9"/>
    </row>
    <row r="408" spans="1:18" s="82" customFormat="1" ht="12.75" x14ac:dyDescent="0.2">
      <c r="A408" s="58"/>
      <c r="B408" s="382">
        <v>183211323</v>
      </c>
      <c r="C408" s="414" t="s">
        <v>276</v>
      </c>
      <c r="D408" s="10" t="s">
        <v>31</v>
      </c>
      <c r="E408" s="141"/>
      <c r="F408" s="150">
        <f>F407</f>
        <v>6041</v>
      </c>
      <c r="G408" s="61"/>
      <c r="H408" s="61">
        <f>E408*F408</f>
        <v>0</v>
      </c>
      <c r="I408" s="63"/>
      <c r="J408" s="145"/>
      <c r="K408" s="146"/>
      <c r="L408" s="8"/>
      <c r="N408" s="9"/>
    </row>
    <row r="409" spans="1:18" s="82" customFormat="1" ht="12.75" x14ac:dyDescent="0.2">
      <c r="A409" s="58"/>
      <c r="B409" s="382" t="s">
        <v>34</v>
      </c>
      <c r="C409" s="414" t="s">
        <v>277</v>
      </c>
      <c r="D409" s="10" t="s">
        <v>29</v>
      </c>
      <c r="E409" s="141"/>
      <c r="F409" s="150">
        <f>F376</f>
        <v>35884</v>
      </c>
      <c r="G409" s="61">
        <f>E409*F409</f>
        <v>0</v>
      </c>
      <c r="H409" s="61"/>
      <c r="I409" s="63"/>
      <c r="J409" s="145"/>
      <c r="K409" s="146"/>
      <c r="L409" s="80"/>
      <c r="N409" s="9"/>
    </row>
    <row r="410" spans="1:18" s="82" customFormat="1" ht="12.75" x14ac:dyDescent="0.2">
      <c r="A410" s="58"/>
      <c r="B410" s="377">
        <v>185802114</v>
      </c>
      <c r="C410" s="414" t="s">
        <v>138</v>
      </c>
      <c r="D410" s="10" t="s">
        <v>16</v>
      </c>
      <c r="E410" s="148"/>
      <c r="F410" s="59">
        <f>(F409/100000)</f>
        <v>0.35883999999999999</v>
      </c>
      <c r="G410" s="62"/>
      <c r="H410" s="62">
        <f>E410*F410</f>
        <v>0</v>
      </c>
      <c r="I410" s="144"/>
      <c r="J410" s="145"/>
      <c r="K410" s="146"/>
      <c r="L410" s="8"/>
      <c r="N410" s="9"/>
    </row>
    <row r="411" spans="1:18" s="82" customFormat="1" ht="12.75" x14ac:dyDescent="0.2">
      <c r="A411" s="58"/>
      <c r="B411" s="377" t="s">
        <v>32</v>
      </c>
      <c r="C411" s="414" t="s">
        <v>278</v>
      </c>
      <c r="D411" s="10" t="s">
        <v>279</v>
      </c>
      <c r="E411" s="148"/>
      <c r="F411" s="150">
        <f>E412*0.25</f>
        <v>0</v>
      </c>
      <c r="G411" s="62"/>
      <c r="H411" s="62">
        <f>E411*F411</f>
        <v>0</v>
      </c>
      <c r="I411" s="144"/>
      <c r="J411" s="145"/>
      <c r="K411" s="146"/>
      <c r="L411" s="8"/>
      <c r="N411" s="9"/>
    </row>
    <row r="412" spans="1:18" s="82" customFormat="1" ht="25.5" x14ac:dyDescent="0.2">
      <c r="A412" s="10"/>
      <c r="B412" s="381" t="s">
        <v>18</v>
      </c>
      <c r="C412" s="421" t="s">
        <v>280</v>
      </c>
      <c r="D412" s="202" t="s">
        <v>281</v>
      </c>
      <c r="E412" s="203"/>
      <c r="F412" s="150">
        <f>E412*10</f>
        <v>0</v>
      </c>
      <c r="G412" s="62"/>
      <c r="H412" s="62"/>
      <c r="I412" s="144"/>
      <c r="J412" s="145"/>
      <c r="K412" s="146"/>
      <c r="L412" s="27"/>
      <c r="N412" s="9"/>
    </row>
    <row r="413" spans="1:18" s="82" customFormat="1" ht="12.75" x14ac:dyDescent="0.2">
      <c r="A413" s="10"/>
      <c r="B413" s="377" t="s">
        <v>34</v>
      </c>
      <c r="C413" s="414" t="s">
        <v>282</v>
      </c>
      <c r="D413" s="10" t="s">
        <v>36</v>
      </c>
      <c r="E413" s="148"/>
      <c r="F413" s="10">
        <f>F412*0.04</f>
        <v>0</v>
      </c>
      <c r="G413" s="62">
        <f>E413*F413</f>
        <v>0</v>
      </c>
      <c r="H413" s="62"/>
      <c r="I413" s="144"/>
      <c r="J413" s="145"/>
      <c r="K413" s="146"/>
      <c r="L413" s="27"/>
      <c r="N413" s="9"/>
    </row>
    <row r="414" spans="1:18" s="9" customFormat="1" ht="25.5" x14ac:dyDescent="0.2">
      <c r="A414" s="10"/>
      <c r="B414" s="382">
        <v>183111111</v>
      </c>
      <c r="C414" s="414" t="s">
        <v>273</v>
      </c>
      <c r="D414" s="10" t="s">
        <v>31</v>
      </c>
      <c r="E414" s="141"/>
      <c r="F414" s="150">
        <f>F380</f>
        <v>10035</v>
      </c>
      <c r="G414" s="61"/>
      <c r="H414" s="61">
        <f>E414*F414</f>
        <v>0</v>
      </c>
      <c r="I414" s="63"/>
      <c r="J414" s="145"/>
      <c r="K414" s="146"/>
      <c r="L414" s="27"/>
    </row>
    <row r="415" spans="1:18" s="9" customFormat="1" ht="12.75" x14ac:dyDescent="0.2">
      <c r="A415" s="58"/>
      <c r="B415" s="382">
        <v>183211313</v>
      </c>
      <c r="C415" s="414" t="s">
        <v>283</v>
      </c>
      <c r="D415" s="10" t="s">
        <v>31</v>
      </c>
      <c r="E415" s="141"/>
      <c r="F415" s="150">
        <f>F414</f>
        <v>10035</v>
      </c>
      <c r="G415" s="61"/>
      <c r="H415" s="61">
        <f>E415*F415</f>
        <v>0</v>
      </c>
      <c r="I415" s="63"/>
      <c r="J415" s="145"/>
      <c r="K415" s="146"/>
      <c r="L415" s="27"/>
    </row>
    <row r="416" spans="1:18" s="82" customFormat="1" ht="25.5" x14ac:dyDescent="0.2">
      <c r="A416" s="58"/>
      <c r="B416" s="382" t="s">
        <v>32</v>
      </c>
      <c r="C416" s="414" t="s">
        <v>284</v>
      </c>
      <c r="D416" s="10" t="s">
        <v>31</v>
      </c>
      <c r="E416" s="141"/>
      <c r="F416" s="150">
        <f>F381</f>
        <v>55725</v>
      </c>
      <c r="G416" s="61"/>
      <c r="H416" s="61">
        <f>E416*F416</f>
        <v>0</v>
      </c>
      <c r="I416" s="63"/>
      <c r="J416" s="145"/>
      <c r="K416" s="146"/>
      <c r="L416" s="27"/>
      <c r="N416" s="9"/>
    </row>
    <row r="417" spans="1:18" s="82" customFormat="1" ht="12.75" x14ac:dyDescent="0.2">
      <c r="A417" s="58"/>
      <c r="B417" s="382" t="s">
        <v>32</v>
      </c>
      <c r="C417" s="414" t="s">
        <v>283</v>
      </c>
      <c r="D417" s="10" t="s">
        <v>31</v>
      </c>
      <c r="E417" s="141"/>
      <c r="F417" s="150">
        <f>F416</f>
        <v>55725</v>
      </c>
      <c r="G417" s="61"/>
      <c r="H417" s="61">
        <f>E417*F417</f>
        <v>0</v>
      </c>
      <c r="I417" s="63"/>
      <c r="J417" s="145"/>
      <c r="K417" s="146"/>
      <c r="L417" s="27"/>
      <c r="N417" s="9"/>
    </row>
    <row r="418" spans="1:18" s="82" customFormat="1" ht="12.75" x14ac:dyDescent="0.2">
      <c r="A418" s="58"/>
      <c r="B418" s="382" t="s">
        <v>34</v>
      </c>
      <c r="C418" s="414" t="s">
        <v>285</v>
      </c>
      <c r="D418" s="10" t="s">
        <v>39</v>
      </c>
      <c r="E418" s="204"/>
      <c r="F418" s="150">
        <f>3573*0.05*1.1</f>
        <v>196.51500000000001</v>
      </c>
      <c r="G418" s="61">
        <f>E418*F418</f>
        <v>0</v>
      </c>
      <c r="H418" s="61"/>
      <c r="I418" s="64"/>
      <c r="J418" s="145"/>
      <c r="K418" s="146"/>
      <c r="L418" s="27"/>
      <c r="N418" s="9"/>
    </row>
    <row r="419" spans="1:18" s="82" customFormat="1" ht="25.5" x14ac:dyDescent="0.2">
      <c r="A419" s="58"/>
      <c r="B419" s="382" t="s">
        <v>34</v>
      </c>
      <c r="C419" s="414" t="s">
        <v>286</v>
      </c>
      <c r="D419" s="10" t="s">
        <v>39</v>
      </c>
      <c r="E419" s="148"/>
      <c r="F419" s="150">
        <f>363*0.05*1.1</f>
        <v>19.965000000000003</v>
      </c>
      <c r="G419" s="61">
        <f>E419*F419</f>
        <v>0</v>
      </c>
      <c r="H419" s="61"/>
      <c r="I419" s="63"/>
      <c r="J419" s="145"/>
      <c r="K419" s="146"/>
      <c r="L419" s="27"/>
      <c r="N419" s="9"/>
    </row>
    <row r="420" spans="1:18" s="82" customFormat="1" ht="12.75" x14ac:dyDescent="0.2">
      <c r="A420" s="58"/>
      <c r="B420" s="377">
        <v>184911161</v>
      </c>
      <c r="C420" s="414" t="s">
        <v>287</v>
      </c>
      <c r="D420" s="10" t="s">
        <v>66</v>
      </c>
      <c r="E420" s="141"/>
      <c r="F420" s="150">
        <v>363</v>
      </c>
      <c r="G420" s="61"/>
      <c r="H420" s="61">
        <f>E420*F420</f>
        <v>0</v>
      </c>
      <c r="I420" s="63"/>
      <c r="J420" s="145"/>
      <c r="K420" s="146"/>
      <c r="L420" s="27"/>
      <c r="N420" s="9"/>
    </row>
    <row r="421" spans="1:18" s="82" customFormat="1" ht="12.75" x14ac:dyDescent="0.2">
      <c r="A421" s="58"/>
      <c r="B421" s="377">
        <v>184911421</v>
      </c>
      <c r="C421" s="414" t="s">
        <v>234</v>
      </c>
      <c r="D421" s="10" t="s">
        <v>66</v>
      </c>
      <c r="E421" s="148"/>
      <c r="F421" s="150">
        <v>3573</v>
      </c>
      <c r="G421" s="62"/>
      <c r="H421" s="62">
        <f>E421*F421</f>
        <v>0</v>
      </c>
      <c r="I421" s="145"/>
      <c r="J421" s="145"/>
      <c r="K421" s="146"/>
      <c r="L421" s="27"/>
      <c r="N421" s="9"/>
    </row>
    <row r="422" spans="1:18" s="82" customFormat="1" ht="12.75" x14ac:dyDescent="0.2">
      <c r="A422" s="58"/>
      <c r="B422" s="377">
        <v>185804312</v>
      </c>
      <c r="C422" s="414" t="s">
        <v>288</v>
      </c>
      <c r="D422" s="10" t="s">
        <v>39</v>
      </c>
      <c r="E422" s="148"/>
      <c r="F422" s="150">
        <f>F375*0.02*2</f>
        <v>157.44</v>
      </c>
      <c r="G422" s="62"/>
      <c r="H422" s="62">
        <f>E422*F422</f>
        <v>0</v>
      </c>
      <c r="I422" s="144"/>
      <c r="J422" s="145"/>
      <c r="K422" s="146"/>
      <c r="L422" s="27"/>
      <c r="N422" s="9"/>
    </row>
    <row r="423" spans="1:18" s="82" customFormat="1" ht="12.75" x14ac:dyDescent="0.2">
      <c r="A423" s="10"/>
      <c r="B423" s="377">
        <v>185804111</v>
      </c>
      <c r="C423" s="414" t="s">
        <v>289</v>
      </c>
      <c r="D423" s="10" t="s">
        <v>66</v>
      </c>
      <c r="E423" s="141"/>
      <c r="F423" s="150">
        <f>F375</f>
        <v>3936</v>
      </c>
      <c r="G423" s="62"/>
      <c r="H423" s="62">
        <f>E423*F423</f>
        <v>0</v>
      </c>
      <c r="I423" s="144"/>
      <c r="J423" s="145"/>
      <c r="K423" s="146"/>
      <c r="L423" s="27"/>
      <c r="N423" s="9"/>
    </row>
    <row r="424" spans="1:18" s="82" customFormat="1" ht="12.75" x14ac:dyDescent="0.2">
      <c r="A424" s="10"/>
      <c r="B424" s="377" t="s">
        <v>90</v>
      </c>
      <c r="C424" s="414" t="s">
        <v>290</v>
      </c>
      <c r="D424" s="10" t="s">
        <v>39</v>
      </c>
      <c r="E424" s="148"/>
      <c r="F424" s="10">
        <f>F375*0.002</f>
        <v>7.8719999999999999</v>
      </c>
      <c r="G424" s="62">
        <f>E424*F424</f>
        <v>0</v>
      </c>
      <c r="H424" s="62"/>
      <c r="I424" s="144"/>
      <c r="J424" s="145"/>
      <c r="K424" s="146"/>
      <c r="L424" s="27"/>
      <c r="N424" s="9"/>
    </row>
    <row r="425" spans="1:18" s="82" customFormat="1" ht="38.25" x14ac:dyDescent="0.2">
      <c r="A425" s="10"/>
      <c r="B425" s="377" t="s">
        <v>18</v>
      </c>
      <c r="C425" s="414" t="s">
        <v>291</v>
      </c>
      <c r="D425" s="10" t="s">
        <v>269</v>
      </c>
      <c r="E425" s="141"/>
      <c r="F425" s="150">
        <v>1290</v>
      </c>
      <c r="G425" s="62"/>
      <c r="H425" s="62"/>
      <c r="I425" s="144"/>
      <c r="J425" s="145"/>
      <c r="K425" s="146"/>
      <c r="L425" s="27"/>
      <c r="N425" s="9"/>
    </row>
    <row r="426" spans="1:18" s="82" customFormat="1" ht="12.75" x14ac:dyDescent="0.2">
      <c r="A426" s="10"/>
      <c r="B426" s="377" t="s">
        <v>18</v>
      </c>
      <c r="C426" s="414" t="s">
        <v>292</v>
      </c>
      <c r="D426" s="10" t="s">
        <v>29</v>
      </c>
      <c r="E426" s="141"/>
      <c r="F426" s="150">
        <f>F425/1.2</f>
        <v>1075</v>
      </c>
      <c r="G426" s="62"/>
      <c r="H426" s="62"/>
      <c r="I426" s="144"/>
      <c r="J426" s="145"/>
      <c r="K426" s="146"/>
      <c r="L426" s="27"/>
      <c r="N426" s="9"/>
    </row>
    <row r="427" spans="1:18" s="82" customFormat="1" ht="12.75" x14ac:dyDescent="0.2">
      <c r="A427" s="10"/>
      <c r="B427" s="377" t="s">
        <v>32</v>
      </c>
      <c r="C427" s="414" t="s">
        <v>293</v>
      </c>
      <c r="D427" s="10" t="s">
        <v>29</v>
      </c>
      <c r="E427" s="148"/>
      <c r="F427" s="150">
        <f>F426</f>
        <v>1075</v>
      </c>
      <c r="G427" s="62"/>
      <c r="H427" s="62">
        <f>E427*F427</f>
        <v>0</v>
      </c>
      <c r="I427" s="144"/>
      <c r="J427" s="145"/>
      <c r="K427" s="146"/>
      <c r="L427" s="27"/>
      <c r="N427" s="9"/>
    </row>
    <row r="428" spans="1:18" s="82" customFormat="1" ht="12.75" x14ac:dyDescent="0.2">
      <c r="A428" s="10"/>
      <c r="B428" s="377" t="s">
        <v>34</v>
      </c>
      <c r="C428" s="414" t="s">
        <v>294</v>
      </c>
      <c r="D428" s="10" t="s">
        <v>269</v>
      </c>
      <c r="E428" s="148"/>
      <c r="F428" s="150">
        <f>F427*1.2</f>
        <v>1290</v>
      </c>
      <c r="G428" s="62">
        <f>E428*F428</f>
        <v>0</v>
      </c>
      <c r="H428" s="62"/>
      <c r="I428" s="144">
        <v>4.0000000000000002E-4</v>
      </c>
      <c r="J428" s="145">
        <f>I428*F428</f>
        <v>0.51600000000000001</v>
      </c>
      <c r="K428" s="146"/>
      <c r="L428" s="27"/>
      <c r="N428" s="9"/>
    </row>
    <row r="429" spans="1:18" s="82" customFormat="1" ht="12.75" x14ac:dyDescent="0.2">
      <c r="A429" s="10"/>
      <c r="B429" s="377" t="s">
        <v>34</v>
      </c>
      <c r="C429" s="414" t="s">
        <v>295</v>
      </c>
      <c r="D429" s="10" t="s">
        <v>269</v>
      </c>
      <c r="E429" s="148"/>
      <c r="F429" s="150">
        <f>F425*1.05</f>
        <v>1354.5</v>
      </c>
      <c r="G429" s="62">
        <f>E429*F429</f>
        <v>0</v>
      </c>
      <c r="H429" s="62"/>
      <c r="I429" s="144"/>
      <c r="J429" s="145"/>
      <c r="K429" s="146"/>
      <c r="L429" s="27"/>
      <c r="N429" s="9"/>
    </row>
    <row r="430" spans="1:18" s="9" customFormat="1" ht="12.75" x14ac:dyDescent="0.2">
      <c r="A430" s="10"/>
      <c r="B430" s="377" t="s">
        <v>32</v>
      </c>
      <c r="C430" s="429" t="s">
        <v>296</v>
      </c>
      <c r="D430" s="10" t="s">
        <v>269</v>
      </c>
      <c r="E430" s="148"/>
      <c r="F430" s="150">
        <f>F425</f>
        <v>1290</v>
      </c>
      <c r="G430" s="62"/>
      <c r="H430" s="62">
        <f>E430*F430</f>
        <v>0</v>
      </c>
      <c r="I430" s="144"/>
      <c r="J430" s="145"/>
      <c r="K430" s="146"/>
      <c r="L430" s="8"/>
      <c r="M430" s="82"/>
      <c r="O430" s="82"/>
      <c r="P430" s="82"/>
      <c r="Q430" s="82"/>
      <c r="R430" s="82"/>
    </row>
    <row r="431" spans="1:18" s="9" customFormat="1" ht="12.75" x14ac:dyDescent="0.2">
      <c r="A431" s="58"/>
      <c r="B431" s="377" t="s">
        <v>18</v>
      </c>
      <c r="C431" s="414" t="s">
        <v>297</v>
      </c>
      <c r="D431" s="10"/>
      <c r="E431" s="148"/>
      <c r="F431" s="10"/>
      <c r="G431" s="62"/>
      <c r="H431" s="62"/>
      <c r="I431" s="144"/>
      <c r="J431" s="64"/>
      <c r="K431" s="65"/>
      <c r="L431" s="8"/>
    </row>
    <row r="432" spans="1:18" s="9" customFormat="1" ht="12.75" x14ac:dyDescent="0.2">
      <c r="A432" s="205"/>
      <c r="B432" s="385">
        <v>998231411</v>
      </c>
      <c r="C432" s="425" t="s">
        <v>94</v>
      </c>
      <c r="D432" s="164" t="s">
        <v>16</v>
      </c>
      <c r="E432" s="183"/>
      <c r="F432" s="166">
        <f>J432</f>
        <v>15.623701500000003</v>
      </c>
      <c r="G432" s="119"/>
      <c r="H432" s="119">
        <f>E432*F432</f>
        <v>0</v>
      </c>
      <c r="I432" s="136" t="s">
        <v>6</v>
      </c>
      <c r="J432" s="206">
        <f>SUM(J376:J431)</f>
        <v>15.623701500000003</v>
      </c>
      <c r="K432" s="96"/>
      <c r="L432" s="8"/>
    </row>
    <row r="433" spans="1:18" s="9" customFormat="1" ht="12.75" x14ac:dyDescent="0.2">
      <c r="A433" s="58"/>
      <c r="B433" s="377"/>
      <c r="C433" s="414"/>
      <c r="D433" s="59"/>
      <c r="E433" s="60"/>
      <c r="F433" s="59"/>
      <c r="G433" s="61"/>
      <c r="H433" s="62"/>
      <c r="I433" s="63"/>
      <c r="J433" s="64"/>
      <c r="K433" s="65"/>
      <c r="L433" s="20"/>
      <c r="M433" s="82"/>
      <c r="O433" s="82"/>
      <c r="P433" s="82"/>
      <c r="Q433" s="82"/>
      <c r="R433" s="82"/>
    </row>
    <row r="434" spans="1:18" s="28" customFormat="1" ht="25.5" x14ac:dyDescent="0.2">
      <c r="A434" s="22"/>
      <c r="B434" s="375" t="s">
        <v>18</v>
      </c>
      <c r="C434" s="412" t="s">
        <v>120</v>
      </c>
      <c r="D434" s="23"/>
      <c r="E434" s="23" t="s">
        <v>20</v>
      </c>
      <c r="F434" s="24" t="s">
        <v>121</v>
      </c>
      <c r="G434" s="25" t="s">
        <v>22</v>
      </c>
      <c r="H434" s="25" t="s">
        <v>23</v>
      </c>
      <c r="I434" s="26" t="s">
        <v>24</v>
      </c>
      <c r="J434" s="26" t="s">
        <v>25</v>
      </c>
      <c r="K434" s="25" t="s">
        <v>26</v>
      </c>
      <c r="L434" s="27"/>
      <c r="N434" s="9"/>
    </row>
    <row r="435" spans="1:18" ht="15" x14ac:dyDescent="0.2">
      <c r="A435" s="58"/>
      <c r="B435" s="376" t="s">
        <v>298</v>
      </c>
      <c r="C435" s="413" t="s">
        <v>299</v>
      </c>
      <c r="D435" s="30" t="s">
        <v>244</v>
      </c>
      <c r="E435" s="197">
        <f>I435/F435</f>
        <v>0</v>
      </c>
      <c r="F435" s="207">
        <v>243</v>
      </c>
      <c r="G435" s="140">
        <f>SUM(G436:G490)</f>
        <v>0</v>
      </c>
      <c r="H435" s="140">
        <f>SUM(H436:H490)</f>
        <v>0</v>
      </c>
      <c r="I435" s="140">
        <f>H435+G435</f>
        <v>0</v>
      </c>
      <c r="J435" s="140">
        <f>I435/100*21</f>
        <v>0</v>
      </c>
      <c r="K435" s="34">
        <f>J435+I435</f>
        <v>0</v>
      </c>
      <c r="L435" s="8"/>
      <c r="N435" s="9"/>
    </row>
    <row r="436" spans="1:18" ht="38.25" x14ac:dyDescent="0.2">
      <c r="A436" s="58"/>
      <c r="B436" s="377"/>
      <c r="C436" s="422" t="s">
        <v>300</v>
      </c>
      <c r="D436" s="208"/>
      <c r="E436" s="209"/>
      <c r="F436" s="44"/>
      <c r="G436" s="40"/>
      <c r="H436" s="210"/>
      <c r="I436" s="211"/>
      <c r="J436" s="212"/>
      <c r="K436" s="123"/>
      <c r="N436" s="9"/>
    </row>
    <row r="437" spans="1:18" ht="178.5" x14ac:dyDescent="0.2">
      <c r="A437" s="58"/>
      <c r="B437" s="377"/>
      <c r="C437" s="422" t="s">
        <v>691</v>
      </c>
      <c r="D437" s="208"/>
      <c r="E437" s="209"/>
      <c r="F437" s="44"/>
      <c r="G437" s="40"/>
      <c r="H437" s="210"/>
      <c r="I437" s="211"/>
      <c r="J437" s="212"/>
      <c r="K437" s="123"/>
      <c r="N437" s="9"/>
    </row>
    <row r="438" spans="1:18" ht="204" x14ac:dyDescent="0.2">
      <c r="A438" s="58"/>
      <c r="B438" s="377"/>
      <c r="C438" s="422" t="s">
        <v>692</v>
      </c>
      <c r="D438" s="208"/>
      <c r="E438" s="209"/>
      <c r="F438" s="44"/>
      <c r="G438" s="40"/>
      <c r="H438" s="210"/>
      <c r="I438" s="211"/>
      <c r="J438" s="212"/>
      <c r="K438" s="123"/>
      <c r="N438" s="9"/>
    </row>
    <row r="439" spans="1:18" ht="178.5" x14ac:dyDescent="0.2">
      <c r="A439" s="58"/>
      <c r="B439" s="377"/>
      <c r="C439" s="422" t="s">
        <v>693</v>
      </c>
      <c r="D439" s="208"/>
      <c r="E439" s="209"/>
      <c r="F439" s="44"/>
      <c r="G439" s="40"/>
      <c r="H439" s="210"/>
      <c r="I439" s="211"/>
      <c r="J439" s="212"/>
      <c r="K439" s="123"/>
      <c r="L439" s="8"/>
      <c r="N439" s="9"/>
    </row>
    <row r="440" spans="1:18" x14ac:dyDescent="0.2">
      <c r="A440" s="58"/>
      <c r="B440" s="377" t="s">
        <v>32</v>
      </c>
      <c r="C440" s="422" t="s">
        <v>301</v>
      </c>
      <c r="D440" s="208" t="s">
        <v>29</v>
      </c>
      <c r="E440" s="200"/>
      <c r="F440" s="135">
        <v>12</v>
      </c>
      <c r="G440" s="40"/>
      <c r="H440" s="210">
        <f>E440*F440</f>
        <v>0</v>
      </c>
      <c r="I440" s="211"/>
      <c r="J440" s="212"/>
      <c r="K440" s="123"/>
      <c r="L440" s="8"/>
      <c r="N440" s="9"/>
    </row>
    <row r="441" spans="1:18" ht="76.5" x14ac:dyDescent="0.2">
      <c r="A441" s="58"/>
      <c r="B441" s="377"/>
      <c r="C441" s="422" t="s">
        <v>302</v>
      </c>
      <c r="D441" s="208"/>
      <c r="E441" s="209"/>
      <c r="F441" s="44"/>
      <c r="G441" s="40"/>
      <c r="H441" s="210"/>
      <c r="I441" s="211"/>
      <c r="J441" s="212"/>
      <c r="K441" s="123"/>
      <c r="N441" s="9"/>
    </row>
    <row r="442" spans="1:18" ht="38.25" x14ac:dyDescent="0.2">
      <c r="A442" s="58"/>
      <c r="B442" s="377" t="s">
        <v>18</v>
      </c>
      <c r="C442" s="422" t="s">
        <v>303</v>
      </c>
      <c r="D442" s="208" t="s">
        <v>39</v>
      </c>
      <c r="E442" s="209"/>
      <c r="F442" s="44">
        <f>1.1*80.745</f>
        <v>88.819500000000019</v>
      </c>
      <c r="G442" s="40">
        <f>E442*F442</f>
        <v>0</v>
      </c>
      <c r="H442" s="210"/>
      <c r="I442" s="211"/>
      <c r="J442" s="212"/>
      <c r="K442" s="123"/>
      <c r="N442" s="9"/>
    </row>
    <row r="443" spans="1:18" x14ac:dyDescent="0.2">
      <c r="A443" s="58"/>
      <c r="B443" s="377" t="s">
        <v>18</v>
      </c>
      <c r="C443" s="422" t="s">
        <v>304</v>
      </c>
      <c r="D443" s="208" t="s">
        <v>39</v>
      </c>
      <c r="E443" s="209"/>
      <c r="F443" s="44">
        <f>F435*0.15</f>
        <v>36.449999999999996</v>
      </c>
      <c r="G443" s="40"/>
      <c r="H443" s="210"/>
      <c r="I443" s="211"/>
      <c r="J443" s="212"/>
      <c r="K443" s="123"/>
      <c r="N443" s="9"/>
    </row>
    <row r="444" spans="1:18" ht="30" x14ac:dyDescent="0.2">
      <c r="A444" s="58"/>
      <c r="B444" s="377">
        <v>181351103</v>
      </c>
      <c r="C444" s="422" t="s">
        <v>305</v>
      </c>
      <c r="D444" s="208" t="s">
        <v>306</v>
      </c>
      <c r="E444" s="200"/>
      <c r="F444" s="135">
        <f>F435</f>
        <v>243</v>
      </c>
      <c r="G444" s="40"/>
      <c r="H444" s="210">
        <f>E444*F444</f>
        <v>0</v>
      </c>
      <c r="I444" s="211"/>
      <c r="J444" s="212"/>
      <c r="K444" s="123"/>
      <c r="N444" s="9"/>
    </row>
    <row r="445" spans="1:18" ht="25.5" x14ac:dyDescent="0.2">
      <c r="A445" s="58"/>
      <c r="B445" s="377" t="s">
        <v>18</v>
      </c>
      <c r="C445" s="422" t="s">
        <v>307</v>
      </c>
      <c r="D445" s="208" t="s">
        <v>39</v>
      </c>
      <c r="E445" s="209"/>
      <c r="F445" s="44">
        <f>F442-F443</f>
        <v>52.369500000000023</v>
      </c>
      <c r="G445" s="40"/>
      <c r="H445" s="210"/>
      <c r="I445" s="211"/>
      <c r="J445" s="212"/>
      <c r="K445" s="123"/>
      <c r="N445" s="9"/>
    </row>
    <row r="446" spans="1:18" x14ac:dyDescent="0.2">
      <c r="A446" s="58"/>
      <c r="B446" s="377">
        <v>171111103</v>
      </c>
      <c r="C446" s="422" t="s">
        <v>308</v>
      </c>
      <c r="D446" s="208" t="s">
        <v>39</v>
      </c>
      <c r="E446" s="200"/>
      <c r="F446" s="44">
        <f>(F442-F443)/2</f>
        <v>26.184750000000012</v>
      </c>
      <c r="G446" s="40"/>
      <c r="H446" s="210">
        <f>E446*F446</f>
        <v>0</v>
      </c>
      <c r="I446" s="211"/>
      <c r="J446" s="212"/>
      <c r="K446" s="123"/>
      <c r="N446" s="9"/>
    </row>
    <row r="447" spans="1:18" x14ac:dyDescent="0.2">
      <c r="A447" s="58"/>
      <c r="B447" s="377">
        <v>171151103</v>
      </c>
      <c r="C447" s="422" t="s">
        <v>309</v>
      </c>
      <c r="D447" s="208" t="s">
        <v>39</v>
      </c>
      <c r="E447" s="200"/>
      <c r="F447" s="44">
        <f>F446</f>
        <v>26.184750000000012</v>
      </c>
      <c r="G447" s="40"/>
      <c r="H447" s="210">
        <f>E447*F447</f>
        <v>0</v>
      </c>
      <c r="I447" s="211"/>
      <c r="J447" s="212"/>
      <c r="K447" s="123"/>
      <c r="N447" s="9"/>
    </row>
    <row r="448" spans="1:18" x14ac:dyDescent="0.2">
      <c r="A448" s="58"/>
      <c r="B448" s="377">
        <v>171151101</v>
      </c>
      <c r="C448" s="422" t="s">
        <v>310</v>
      </c>
      <c r="D448" s="208" t="s">
        <v>66</v>
      </c>
      <c r="E448" s="209"/>
      <c r="F448" s="135">
        <f>F435</f>
        <v>243</v>
      </c>
      <c r="G448" s="40"/>
      <c r="H448" s="210">
        <f>E448*F448</f>
        <v>0</v>
      </c>
      <c r="I448" s="211"/>
      <c r="J448" s="212"/>
      <c r="K448" s="123"/>
      <c r="N448" s="9"/>
    </row>
    <row r="449" spans="1:14" x14ac:dyDescent="0.2">
      <c r="A449" s="29"/>
      <c r="B449" s="377">
        <v>183403253</v>
      </c>
      <c r="C449" s="422" t="s">
        <v>311</v>
      </c>
      <c r="D449" s="208" t="s">
        <v>66</v>
      </c>
      <c r="E449" s="209"/>
      <c r="F449" s="135">
        <f>F435</f>
        <v>243</v>
      </c>
      <c r="G449" s="40"/>
      <c r="H449" s="210">
        <f>E449*F449</f>
        <v>0</v>
      </c>
      <c r="I449" s="211"/>
      <c r="J449" s="212"/>
      <c r="K449" s="123"/>
      <c r="N449" s="9"/>
    </row>
    <row r="450" spans="1:14" ht="38.25" x14ac:dyDescent="0.2">
      <c r="A450" s="29"/>
      <c r="B450" s="382"/>
      <c r="C450" s="414" t="s">
        <v>312</v>
      </c>
      <c r="D450" s="18"/>
      <c r="E450" s="209"/>
      <c r="F450" s="201"/>
      <c r="G450" s="40"/>
      <c r="H450" s="40"/>
      <c r="I450" s="41"/>
      <c r="J450" s="145"/>
      <c r="K450" s="146"/>
      <c r="N450" s="9"/>
    </row>
    <row r="451" spans="1:14" x14ac:dyDescent="0.2">
      <c r="A451" s="29"/>
      <c r="B451" s="382"/>
      <c r="C451" s="414" t="s">
        <v>313</v>
      </c>
      <c r="D451" s="18" t="s">
        <v>66</v>
      </c>
      <c r="E451" s="209"/>
      <c r="F451" s="201">
        <v>292.2</v>
      </c>
      <c r="G451" s="40">
        <f>E451*F451</f>
        <v>0</v>
      </c>
      <c r="H451" s="40"/>
      <c r="I451" s="41">
        <v>5.0000000000000001E-4</v>
      </c>
      <c r="J451" s="145">
        <f>I451*F451</f>
        <v>0.14610000000000001</v>
      </c>
      <c r="K451" s="146"/>
      <c r="N451" s="9"/>
    </row>
    <row r="452" spans="1:14" x14ac:dyDescent="0.2">
      <c r="A452" s="29"/>
      <c r="B452" s="382"/>
      <c r="C452" s="414" t="s">
        <v>314</v>
      </c>
      <c r="D452" s="18" t="s">
        <v>29</v>
      </c>
      <c r="E452" s="209"/>
      <c r="F452" s="213">
        <v>1500</v>
      </c>
      <c r="G452" s="40">
        <f>E452*F452</f>
        <v>0</v>
      </c>
      <c r="H452" s="40"/>
      <c r="I452" s="41"/>
      <c r="J452" s="145"/>
      <c r="K452" s="146"/>
      <c r="N452" s="9"/>
    </row>
    <row r="453" spans="1:14" ht="15" x14ac:dyDescent="0.2">
      <c r="A453" s="29"/>
      <c r="B453" s="382">
        <v>213141121</v>
      </c>
      <c r="C453" s="414" t="s">
        <v>315</v>
      </c>
      <c r="D453" s="18" t="s">
        <v>316</v>
      </c>
      <c r="E453" s="209"/>
      <c r="F453" s="213">
        <f>F435</f>
        <v>243</v>
      </c>
      <c r="G453" s="40"/>
      <c r="H453" s="40">
        <f>E453*F453</f>
        <v>0</v>
      </c>
      <c r="I453" s="41"/>
      <c r="J453" s="145"/>
      <c r="K453" s="146"/>
      <c r="N453" s="9"/>
    </row>
    <row r="454" spans="1:14" ht="25.5" x14ac:dyDescent="0.2">
      <c r="A454" s="29"/>
      <c r="B454" s="382" t="s">
        <v>18</v>
      </c>
      <c r="C454" s="414" t="s">
        <v>268</v>
      </c>
      <c r="D454" s="18" t="s">
        <v>269</v>
      </c>
      <c r="E454" s="209"/>
      <c r="F454" s="213">
        <v>58</v>
      </c>
      <c r="G454" s="40"/>
      <c r="H454" s="40"/>
      <c r="I454" s="41"/>
      <c r="J454" s="145"/>
      <c r="K454" s="146"/>
      <c r="N454" s="9"/>
    </row>
    <row r="455" spans="1:14" x14ac:dyDescent="0.2">
      <c r="A455" s="29"/>
      <c r="B455" s="382" t="s">
        <v>34</v>
      </c>
      <c r="C455" s="414" t="s">
        <v>270</v>
      </c>
      <c r="D455" s="18" t="s">
        <v>269</v>
      </c>
      <c r="E455" s="200"/>
      <c r="F455" s="201">
        <f>F454*1.05</f>
        <v>60.900000000000006</v>
      </c>
      <c r="G455" s="40">
        <f>E455*F455</f>
        <v>0</v>
      </c>
      <c r="H455" s="40"/>
      <c r="I455" s="41">
        <v>4.8500000000000001E-3</v>
      </c>
      <c r="J455" s="145">
        <f>I455*F455</f>
        <v>0.29536500000000004</v>
      </c>
      <c r="K455" s="146"/>
      <c r="N455" s="9"/>
    </row>
    <row r="456" spans="1:14" x14ac:dyDescent="0.2">
      <c r="A456" s="29"/>
      <c r="B456" s="382" t="s">
        <v>34</v>
      </c>
      <c r="C456" s="414" t="s">
        <v>317</v>
      </c>
      <c r="D456" s="18" t="s">
        <v>269</v>
      </c>
      <c r="E456" s="200"/>
      <c r="F456" s="201">
        <f>F455/0.8*0.8</f>
        <v>60.900000000000006</v>
      </c>
      <c r="G456" s="40">
        <f>E456*F456</f>
        <v>0</v>
      </c>
      <c r="H456" s="40"/>
      <c r="I456" s="41">
        <v>6.2E-4</v>
      </c>
      <c r="J456" s="145">
        <f>I456*F456</f>
        <v>3.7758000000000007E-2</v>
      </c>
      <c r="K456" s="146"/>
      <c r="N456" s="9"/>
    </row>
    <row r="457" spans="1:14" x14ac:dyDescent="0.2">
      <c r="A457" s="29"/>
      <c r="B457" s="382" t="s">
        <v>32</v>
      </c>
      <c r="C457" s="414" t="s">
        <v>272</v>
      </c>
      <c r="D457" s="18" t="s">
        <v>269</v>
      </c>
      <c r="E457" s="200"/>
      <c r="F457" s="213">
        <f>F454</f>
        <v>58</v>
      </c>
      <c r="G457" s="40"/>
      <c r="H457" s="40">
        <f>E457*F457</f>
        <v>0</v>
      </c>
      <c r="I457" s="41"/>
      <c r="J457" s="145"/>
      <c r="K457" s="146"/>
      <c r="L457" s="199"/>
      <c r="N457" s="9"/>
    </row>
    <row r="458" spans="1:14" ht="25.5" x14ac:dyDescent="0.2">
      <c r="A458" s="29"/>
      <c r="B458" s="382"/>
      <c r="C458" s="414" t="s">
        <v>318</v>
      </c>
      <c r="D458" s="18"/>
      <c r="E458" s="209"/>
      <c r="F458" s="201"/>
      <c r="G458" s="40"/>
      <c r="H458" s="40"/>
      <c r="I458" s="41"/>
      <c r="J458" s="145"/>
      <c r="K458" s="146"/>
      <c r="L458" s="199"/>
      <c r="N458" s="9"/>
    </row>
    <row r="459" spans="1:14" x14ac:dyDescent="0.2">
      <c r="A459" s="29"/>
      <c r="B459" s="382" t="s">
        <v>18</v>
      </c>
      <c r="C459" s="422" t="s">
        <v>245</v>
      </c>
      <c r="D459" s="112" t="s">
        <v>29</v>
      </c>
      <c r="E459" s="158"/>
      <c r="F459" s="112">
        <f>F460+F461</f>
        <v>2138</v>
      </c>
      <c r="G459" s="61"/>
      <c r="H459" s="61"/>
      <c r="I459" s="63">
        <v>2.9999999999999997E-4</v>
      </c>
      <c r="J459" s="64">
        <f>I459*F459</f>
        <v>0.64139999999999997</v>
      </c>
      <c r="K459" s="65"/>
      <c r="L459" s="199"/>
      <c r="N459" s="9"/>
    </row>
    <row r="460" spans="1:14" x14ac:dyDescent="0.2">
      <c r="A460" s="58"/>
      <c r="B460" s="382" t="s">
        <v>34</v>
      </c>
      <c r="C460" s="422" t="s">
        <v>246</v>
      </c>
      <c r="D460" s="112" t="s">
        <v>29</v>
      </c>
      <c r="E460" s="159"/>
      <c r="F460" s="112">
        <f>'RM VV'!B111</f>
        <v>1833</v>
      </c>
      <c r="G460" s="61">
        <f>E460*F460</f>
        <v>0</v>
      </c>
      <c r="H460" s="61"/>
      <c r="I460" s="63"/>
      <c r="J460" s="64"/>
      <c r="K460" s="65"/>
      <c r="L460" s="214"/>
      <c r="N460" s="9"/>
    </row>
    <row r="461" spans="1:14" x14ac:dyDescent="0.2">
      <c r="A461" s="58"/>
      <c r="B461" s="382" t="s">
        <v>34</v>
      </c>
      <c r="C461" s="422" t="s">
        <v>247</v>
      </c>
      <c r="D461" s="112" t="s">
        <v>29</v>
      </c>
      <c r="E461" s="159"/>
      <c r="F461" s="112">
        <f>'RM VV'!C111</f>
        <v>305</v>
      </c>
      <c r="G461" s="61">
        <f>E461*F461</f>
        <v>0</v>
      </c>
      <c r="H461" s="61"/>
      <c r="I461" s="63"/>
      <c r="J461" s="64"/>
      <c r="K461" s="65"/>
      <c r="L461" s="214"/>
      <c r="N461" s="9"/>
    </row>
    <row r="462" spans="1:14" x14ac:dyDescent="0.2">
      <c r="A462" s="58"/>
      <c r="B462" s="382" t="s">
        <v>18</v>
      </c>
      <c r="C462" s="422" t="s">
        <v>248</v>
      </c>
      <c r="D462" s="112" t="s">
        <v>29</v>
      </c>
      <c r="E462" s="159"/>
      <c r="F462" s="112">
        <f>F464+F463</f>
        <v>2725</v>
      </c>
      <c r="G462" s="61">
        <f>E462*F462</f>
        <v>0</v>
      </c>
      <c r="H462" s="61"/>
      <c r="I462" s="198">
        <v>4.0000000000000003E-5</v>
      </c>
      <c r="J462" s="64">
        <f>I462*F462</f>
        <v>0.10900000000000001</v>
      </c>
      <c r="K462" s="65"/>
      <c r="L462" s="214"/>
      <c r="N462" s="9"/>
    </row>
    <row r="463" spans="1:14" x14ac:dyDescent="0.2">
      <c r="A463" s="58"/>
      <c r="B463" s="382" t="s">
        <v>34</v>
      </c>
      <c r="C463" s="422" t="s">
        <v>249</v>
      </c>
      <c r="D463" s="112" t="s">
        <v>29</v>
      </c>
      <c r="E463" s="159"/>
      <c r="F463" s="112">
        <f>'RM VV'!B121</f>
        <v>1135</v>
      </c>
      <c r="G463" s="61">
        <f>E463*F463</f>
        <v>0</v>
      </c>
      <c r="H463" s="61"/>
      <c r="I463" s="63"/>
      <c r="J463" s="64"/>
      <c r="K463" s="65"/>
      <c r="L463" s="199"/>
      <c r="N463" s="9"/>
    </row>
    <row r="464" spans="1:14" x14ac:dyDescent="0.2">
      <c r="A464" s="58"/>
      <c r="B464" s="382" t="s">
        <v>34</v>
      </c>
      <c r="C464" s="422" t="s">
        <v>250</v>
      </c>
      <c r="D464" s="112" t="s">
        <v>29</v>
      </c>
      <c r="E464" s="159"/>
      <c r="F464" s="112">
        <f>'RM VV'!C121</f>
        <v>1590</v>
      </c>
      <c r="G464" s="61">
        <f>E464*F464</f>
        <v>0</v>
      </c>
      <c r="H464" s="61"/>
      <c r="I464" s="63"/>
      <c r="J464" s="64"/>
      <c r="K464" s="65"/>
      <c r="L464" s="199"/>
      <c r="N464" s="9"/>
    </row>
    <row r="465" spans="1:14" x14ac:dyDescent="0.2">
      <c r="A465" s="58"/>
      <c r="B465" s="382" t="s">
        <v>32</v>
      </c>
      <c r="C465" s="422" t="s">
        <v>251</v>
      </c>
      <c r="D465" s="112" t="s">
        <v>66</v>
      </c>
      <c r="E465" s="159"/>
      <c r="F465" s="131">
        <f>F435</f>
        <v>243</v>
      </c>
      <c r="G465" s="61"/>
      <c r="H465" s="61">
        <f>E465*F465</f>
        <v>0</v>
      </c>
      <c r="I465" s="63"/>
      <c r="J465" s="64"/>
      <c r="K465" s="65"/>
      <c r="L465" s="199"/>
      <c r="N465" s="9"/>
    </row>
    <row r="466" spans="1:14" ht="25.5" x14ac:dyDescent="0.2">
      <c r="A466" s="58"/>
      <c r="B466" s="382">
        <v>183112128</v>
      </c>
      <c r="C466" s="422" t="s">
        <v>319</v>
      </c>
      <c r="D466" s="112" t="s">
        <v>31</v>
      </c>
      <c r="E466" s="178"/>
      <c r="F466" s="131">
        <f>F460</f>
        <v>1833</v>
      </c>
      <c r="G466" s="61"/>
      <c r="H466" s="61">
        <f>E466*F466</f>
        <v>0</v>
      </c>
      <c r="I466" s="63"/>
      <c r="J466" s="64"/>
      <c r="K466" s="65"/>
      <c r="L466" s="199"/>
      <c r="N466" s="9"/>
    </row>
    <row r="467" spans="1:14" x14ac:dyDescent="0.2">
      <c r="A467" s="58"/>
      <c r="B467" s="382">
        <v>183211322</v>
      </c>
      <c r="C467" s="422" t="s">
        <v>274</v>
      </c>
      <c r="D467" s="112" t="s">
        <v>31</v>
      </c>
      <c r="E467" s="160"/>
      <c r="F467" s="131">
        <f>F466</f>
        <v>1833</v>
      </c>
      <c r="G467" s="61"/>
      <c r="H467" s="61">
        <f>E467*F467</f>
        <v>0</v>
      </c>
      <c r="I467" s="63"/>
      <c r="J467" s="64"/>
      <c r="K467" s="65"/>
      <c r="L467" s="199"/>
      <c r="N467" s="9"/>
    </row>
    <row r="468" spans="1:14" ht="25.5" x14ac:dyDescent="0.2">
      <c r="A468" s="58"/>
      <c r="B468" s="382">
        <v>183112129</v>
      </c>
      <c r="C468" s="422" t="s">
        <v>320</v>
      </c>
      <c r="D468" s="112" t="s">
        <v>31</v>
      </c>
      <c r="E468" s="178"/>
      <c r="F468" s="131">
        <f>F461</f>
        <v>305</v>
      </c>
      <c r="G468" s="61"/>
      <c r="H468" s="61">
        <f>E468*F468</f>
        <v>0</v>
      </c>
      <c r="I468" s="63"/>
      <c r="J468" s="64"/>
      <c r="K468" s="65"/>
      <c r="L468" s="199"/>
      <c r="N468" s="9"/>
    </row>
    <row r="469" spans="1:14" x14ac:dyDescent="0.2">
      <c r="A469" s="58"/>
      <c r="B469" s="382">
        <v>183211323</v>
      </c>
      <c r="C469" s="422" t="s">
        <v>276</v>
      </c>
      <c r="D469" s="112" t="s">
        <v>31</v>
      </c>
      <c r="E469" s="178"/>
      <c r="F469" s="131">
        <f>F468</f>
        <v>305</v>
      </c>
      <c r="G469" s="61"/>
      <c r="H469" s="61">
        <f>E469*F469</f>
        <v>0</v>
      </c>
      <c r="I469" s="63"/>
      <c r="J469" s="64"/>
      <c r="K469" s="65"/>
      <c r="L469" s="199"/>
      <c r="N469" s="9"/>
    </row>
    <row r="470" spans="1:14" x14ac:dyDescent="0.2">
      <c r="A470" s="58"/>
      <c r="B470" s="382" t="s">
        <v>34</v>
      </c>
      <c r="C470" s="422" t="s">
        <v>277</v>
      </c>
      <c r="D470" s="112" t="s">
        <v>29</v>
      </c>
      <c r="E470" s="178"/>
      <c r="F470" s="131">
        <f>F459</f>
        <v>2138</v>
      </c>
      <c r="G470" s="61">
        <f>E470*F470</f>
        <v>0</v>
      </c>
      <c r="H470" s="61"/>
      <c r="I470" s="63"/>
      <c r="J470" s="64"/>
      <c r="K470" s="65"/>
      <c r="L470" s="199"/>
      <c r="N470" s="9"/>
    </row>
    <row r="471" spans="1:14" x14ac:dyDescent="0.2">
      <c r="A471" s="58"/>
      <c r="B471" s="377">
        <v>185802114</v>
      </c>
      <c r="C471" s="414" t="s">
        <v>138</v>
      </c>
      <c r="D471" s="10" t="s">
        <v>16</v>
      </c>
      <c r="E471" s="148"/>
      <c r="F471" s="59">
        <f>(F470/100000)</f>
        <v>2.138E-2</v>
      </c>
      <c r="G471" s="62"/>
      <c r="H471" s="62">
        <f>E471*F471</f>
        <v>0</v>
      </c>
      <c r="I471" s="144"/>
      <c r="J471" s="145"/>
      <c r="K471" s="146"/>
      <c r="L471" s="199"/>
      <c r="N471" s="9"/>
    </row>
    <row r="472" spans="1:14" x14ac:dyDescent="0.2">
      <c r="A472" s="58"/>
      <c r="B472" s="377" t="s">
        <v>32</v>
      </c>
      <c r="C472" s="414" t="s">
        <v>278</v>
      </c>
      <c r="D472" s="10" t="s">
        <v>279</v>
      </c>
      <c r="E472" s="148"/>
      <c r="F472" s="10">
        <f>E473*0.25</f>
        <v>0</v>
      </c>
      <c r="G472" s="62"/>
      <c r="H472" s="62">
        <f>E472*F472</f>
        <v>0</v>
      </c>
      <c r="I472" s="144"/>
      <c r="J472" s="145"/>
      <c r="K472" s="146"/>
      <c r="L472" s="199"/>
      <c r="N472" s="9"/>
    </row>
    <row r="473" spans="1:14" ht="25.5" x14ac:dyDescent="0.2">
      <c r="A473" s="10"/>
      <c r="B473" s="381" t="s">
        <v>18</v>
      </c>
      <c r="C473" s="421" t="s">
        <v>280</v>
      </c>
      <c r="D473" s="202" t="s">
        <v>281</v>
      </c>
      <c r="E473" s="203"/>
      <c r="F473" s="202">
        <f>E473*10</f>
        <v>0</v>
      </c>
      <c r="G473" s="62"/>
      <c r="H473" s="62"/>
      <c r="I473" s="144"/>
      <c r="J473" s="145"/>
      <c r="K473" s="146"/>
      <c r="L473" s="199"/>
      <c r="N473" s="9"/>
    </row>
    <row r="474" spans="1:14" x14ac:dyDescent="0.2">
      <c r="A474" s="10"/>
      <c r="B474" s="377" t="s">
        <v>34</v>
      </c>
      <c r="C474" s="414" t="s">
        <v>282</v>
      </c>
      <c r="D474" s="10" t="s">
        <v>36</v>
      </c>
      <c r="E474" s="148"/>
      <c r="F474" s="10">
        <f>F473*0.04</f>
        <v>0</v>
      </c>
      <c r="G474" s="62">
        <f>E474*F474</f>
        <v>0</v>
      </c>
      <c r="H474" s="62"/>
      <c r="I474" s="144"/>
      <c r="J474" s="145"/>
      <c r="K474" s="146"/>
      <c r="L474" s="199"/>
      <c r="N474" s="9"/>
    </row>
    <row r="475" spans="1:14" ht="25.5" x14ac:dyDescent="0.2">
      <c r="A475" s="10"/>
      <c r="B475" s="382">
        <v>183112128</v>
      </c>
      <c r="C475" s="422" t="s">
        <v>319</v>
      </c>
      <c r="D475" s="112" t="s">
        <v>31</v>
      </c>
      <c r="E475" s="178"/>
      <c r="F475" s="131">
        <f>F463</f>
        <v>1135</v>
      </c>
      <c r="G475" s="61"/>
      <c r="H475" s="61">
        <f t="shared" ref="H475:H480" si="7">E475*F475</f>
        <v>0</v>
      </c>
      <c r="I475" s="63"/>
      <c r="J475" s="64"/>
      <c r="K475" s="65"/>
      <c r="L475" s="199"/>
      <c r="N475" s="9"/>
    </row>
    <row r="476" spans="1:14" x14ac:dyDescent="0.2">
      <c r="A476" s="10"/>
      <c r="B476" s="382">
        <v>183211313</v>
      </c>
      <c r="C476" s="422" t="s">
        <v>283</v>
      </c>
      <c r="D476" s="112" t="s">
        <v>31</v>
      </c>
      <c r="E476" s="178"/>
      <c r="F476" s="131">
        <f>F475</f>
        <v>1135</v>
      </c>
      <c r="G476" s="61"/>
      <c r="H476" s="61">
        <f t="shared" si="7"/>
        <v>0</v>
      </c>
      <c r="I476" s="63"/>
      <c r="J476" s="64"/>
      <c r="K476" s="65"/>
      <c r="L476" s="199"/>
      <c r="N476" s="9"/>
    </row>
    <row r="477" spans="1:14" ht="25.5" x14ac:dyDescent="0.2">
      <c r="A477" s="10"/>
      <c r="B477" s="382" t="s">
        <v>32</v>
      </c>
      <c r="C477" s="422" t="s">
        <v>321</v>
      </c>
      <c r="D477" s="112" t="s">
        <v>31</v>
      </c>
      <c r="E477" s="178"/>
      <c r="F477" s="131">
        <f>F464</f>
        <v>1590</v>
      </c>
      <c r="G477" s="61"/>
      <c r="H477" s="61">
        <f t="shared" si="7"/>
        <v>0</v>
      </c>
      <c r="I477" s="63"/>
      <c r="J477" s="64"/>
      <c r="K477" s="65"/>
      <c r="L477" s="199"/>
      <c r="N477" s="9"/>
    </row>
    <row r="478" spans="1:14" s="9" customFormat="1" ht="12.75" x14ac:dyDescent="0.2">
      <c r="A478" s="10"/>
      <c r="B478" s="382" t="s">
        <v>32</v>
      </c>
      <c r="C478" s="422" t="s">
        <v>283</v>
      </c>
      <c r="D478" s="112" t="s">
        <v>31</v>
      </c>
      <c r="E478" s="178"/>
      <c r="F478" s="131">
        <f>F477</f>
        <v>1590</v>
      </c>
      <c r="G478" s="61"/>
      <c r="H478" s="61">
        <f t="shared" si="7"/>
        <v>0</v>
      </c>
      <c r="I478" s="63"/>
      <c r="J478" s="64"/>
      <c r="K478" s="65"/>
      <c r="L478" s="199"/>
    </row>
    <row r="479" spans="1:14" x14ac:dyDescent="0.2">
      <c r="A479" s="10"/>
      <c r="B479" s="382">
        <v>185804312</v>
      </c>
      <c r="C479" s="422" t="s">
        <v>288</v>
      </c>
      <c r="D479" s="112" t="s">
        <v>39</v>
      </c>
      <c r="E479" s="160"/>
      <c r="F479" s="132">
        <f>F429*0.02*2</f>
        <v>54.18</v>
      </c>
      <c r="G479" s="61"/>
      <c r="H479" s="61">
        <f t="shared" si="7"/>
        <v>0</v>
      </c>
      <c r="I479" s="63"/>
      <c r="J479" s="64"/>
      <c r="K479" s="65"/>
      <c r="L479" s="199"/>
      <c r="N479" s="9"/>
    </row>
    <row r="480" spans="1:14" x14ac:dyDescent="0.2">
      <c r="A480" s="10"/>
      <c r="B480" s="382">
        <v>185804111</v>
      </c>
      <c r="C480" s="422" t="s">
        <v>289</v>
      </c>
      <c r="D480" s="112" t="s">
        <v>66</v>
      </c>
      <c r="E480" s="160"/>
      <c r="F480" s="132">
        <f>F429</f>
        <v>1354.5</v>
      </c>
      <c r="G480" s="61"/>
      <c r="H480" s="61">
        <f t="shared" si="7"/>
        <v>0</v>
      </c>
      <c r="I480" s="63"/>
      <c r="J480" s="64"/>
      <c r="K480" s="65"/>
      <c r="L480" s="199"/>
      <c r="N480" s="9"/>
    </row>
    <row r="481" spans="1:18" x14ac:dyDescent="0.2">
      <c r="A481" s="10"/>
      <c r="B481" s="382" t="s">
        <v>90</v>
      </c>
      <c r="C481" s="422" t="s">
        <v>290</v>
      </c>
      <c r="D481" s="112" t="s">
        <v>39</v>
      </c>
      <c r="E481" s="160"/>
      <c r="F481" s="132">
        <f>F429*0.002</f>
        <v>2.7090000000000001</v>
      </c>
      <c r="G481" s="61">
        <f>E481*F481</f>
        <v>0</v>
      </c>
      <c r="H481" s="61"/>
      <c r="I481" s="63"/>
      <c r="J481" s="64"/>
      <c r="K481" s="65"/>
      <c r="L481" s="199"/>
      <c r="N481" s="9"/>
    </row>
    <row r="482" spans="1:18" ht="38.25" x14ac:dyDescent="0.2">
      <c r="A482" s="10"/>
      <c r="B482" s="382" t="s">
        <v>18</v>
      </c>
      <c r="C482" s="422" t="s">
        <v>291</v>
      </c>
      <c r="D482" s="112" t="s">
        <v>269</v>
      </c>
      <c r="E482" s="178"/>
      <c r="F482" s="131">
        <v>69</v>
      </c>
      <c r="G482" s="61"/>
      <c r="H482" s="61"/>
      <c r="I482" s="63"/>
      <c r="J482" s="64"/>
      <c r="K482" s="65"/>
      <c r="L482" s="199"/>
      <c r="N482" s="9"/>
    </row>
    <row r="483" spans="1:18" x14ac:dyDescent="0.2">
      <c r="A483" s="10"/>
      <c r="B483" s="382" t="s">
        <v>18</v>
      </c>
      <c r="C483" s="422" t="s">
        <v>292</v>
      </c>
      <c r="D483" s="112" t="s">
        <v>29</v>
      </c>
      <c r="E483" s="178"/>
      <c r="F483" s="132">
        <f>F482/1.2</f>
        <v>57.5</v>
      </c>
      <c r="G483" s="61"/>
      <c r="H483" s="61"/>
      <c r="I483" s="63"/>
      <c r="J483" s="64"/>
      <c r="K483" s="65"/>
      <c r="L483" s="199"/>
      <c r="N483" s="9"/>
    </row>
    <row r="484" spans="1:18" x14ac:dyDescent="0.2">
      <c r="A484" s="10"/>
      <c r="B484" s="382" t="s">
        <v>32</v>
      </c>
      <c r="C484" s="422" t="s">
        <v>293</v>
      </c>
      <c r="D484" s="112" t="s">
        <v>29</v>
      </c>
      <c r="E484" s="160"/>
      <c r="F484" s="132">
        <f>F483</f>
        <v>57.5</v>
      </c>
      <c r="G484" s="61"/>
      <c r="H484" s="61">
        <f>E484*F484</f>
        <v>0</v>
      </c>
      <c r="I484" s="63"/>
      <c r="J484" s="64"/>
      <c r="K484" s="65"/>
      <c r="L484" s="199"/>
      <c r="N484" s="9"/>
    </row>
    <row r="485" spans="1:18" x14ac:dyDescent="0.2">
      <c r="A485" s="10"/>
      <c r="B485" s="382" t="s">
        <v>34</v>
      </c>
      <c r="C485" s="422" t="s">
        <v>294</v>
      </c>
      <c r="D485" s="112" t="s">
        <v>269</v>
      </c>
      <c r="E485" s="160"/>
      <c r="F485" s="131">
        <f>F484*1.2</f>
        <v>69</v>
      </c>
      <c r="G485" s="61">
        <f>E485*F485</f>
        <v>0</v>
      </c>
      <c r="H485" s="61"/>
      <c r="I485" s="63">
        <v>9.3000000000000005E-4</v>
      </c>
      <c r="J485" s="64">
        <f>I485*F485</f>
        <v>6.4170000000000005E-2</v>
      </c>
      <c r="K485" s="65"/>
      <c r="L485" s="214"/>
      <c r="N485" s="9"/>
    </row>
    <row r="486" spans="1:18" x14ac:dyDescent="0.2">
      <c r="A486" s="10"/>
      <c r="B486" s="382" t="s">
        <v>34</v>
      </c>
      <c r="C486" s="422" t="s">
        <v>295</v>
      </c>
      <c r="D486" s="112" t="s">
        <v>269</v>
      </c>
      <c r="E486" s="160"/>
      <c r="F486" s="132">
        <f>F482*1.05</f>
        <v>72.45</v>
      </c>
      <c r="G486" s="61">
        <f>E486*F486</f>
        <v>0</v>
      </c>
      <c r="H486" s="61"/>
      <c r="I486" s="63"/>
      <c r="J486" s="64"/>
      <c r="K486" s="65"/>
      <c r="L486" s="199"/>
      <c r="N486" s="9"/>
    </row>
    <row r="487" spans="1:18" x14ac:dyDescent="0.2">
      <c r="A487" s="10"/>
      <c r="B487" s="382" t="s">
        <v>32</v>
      </c>
      <c r="C487" s="422" t="s">
        <v>296</v>
      </c>
      <c r="D487" s="112" t="s">
        <v>269</v>
      </c>
      <c r="E487" s="160"/>
      <c r="F487" s="131">
        <f>F482</f>
        <v>69</v>
      </c>
      <c r="G487" s="61"/>
      <c r="H487" s="61">
        <f>E487*F487</f>
        <v>0</v>
      </c>
      <c r="I487" s="63"/>
      <c r="J487" s="64"/>
      <c r="K487" s="65"/>
      <c r="L487" s="214"/>
      <c r="N487" s="9"/>
    </row>
    <row r="488" spans="1:18" s="9" customFormat="1" ht="12.75" x14ac:dyDescent="0.2">
      <c r="A488" s="10"/>
      <c r="B488" s="382" t="s">
        <v>18</v>
      </c>
      <c r="C488" s="422" t="s">
        <v>297</v>
      </c>
      <c r="D488" s="112"/>
      <c r="E488" s="160"/>
      <c r="F488" s="132"/>
      <c r="G488" s="61"/>
      <c r="H488" s="61"/>
      <c r="I488" s="63"/>
      <c r="J488" s="64"/>
      <c r="K488" s="65"/>
      <c r="L488" s="214"/>
    </row>
    <row r="489" spans="1:18" s="9" customFormat="1" ht="12.75" x14ac:dyDescent="0.2">
      <c r="A489" s="58"/>
      <c r="B489" s="382">
        <v>998231411</v>
      </c>
      <c r="C489" s="422" t="s">
        <v>94</v>
      </c>
      <c r="D489" s="112" t="s">
        <v>16</v>
      </c>
      <c r="E489" s="160"/>
      <c r="F489" s="132">
        <f>J489</f>
        <v>1.2937930000000002</v>
      </c>
      <c r="G489" s="61"/>
      <c r="H489" s="61">
        <f>E489*F489</f>
        <v>0</v>
      </c>
      <c r="I489" s="63" t="s">
        <v>6</v>
      </c>
      <c r="J489" s="64">
        <f>SUM(J436:J488)</f>
        <v>1.2937930000000002</v>
      </c>
      <c r="K489" s="65"/>
      <c r="L489" s="214"/>
    </row>
    <row r="490" spans="1:18" s="9" customFormat="1" ht="12.75" x14ac:dyDescent="0.2">
      <c r="A490" s="58"/>
      <c r="B490" s="385" t="s">
        <v>18</v>
      </c>
      <c r="C490" s="425" t="s">
        <v>322</v>
      </c>
      <c r="D490" s="164"/>
      <c r="E490" s="215"/>
      <c r="F490" s="166"/>
      <c r="G490" s="119"/>
      <c r="H490" s="119"/>
      <c r="I490" s="136"/>
      <c r="J490" s="206"/>
      <c r="K490" s="96"/>
      <c r="L490" s="8"/>
    </row>
    <row r="491" spans="1:18" s="9" customFormat="1" ht="12.75" x14ac:dyDescent="0.2">
      <c r="A491" s="58"/>
      <c r="B491" s="377"/>
      <c r="C491" s="414"/>
      <c r="D491" s="59"/>
      <c r="E491" s="60"/>
      <c r="F491" s="59"/>
      <c r="G491" s="61"/>
      <c r="H491" s="62"/>
      <c r="I491" s="63"/>
      <c r="J491" s="64"/>
      <c r="K491" s="65"/>
      <c r="L491" s="20"/>
      <c r="M491" s="82"/>
      <c r="O491" s="82"/>
      <c r="P491" s="82"/>
      <c r="Q491" s="82"/>
      <c r="R491" s="82"/>
    </row>
    <row r="492" spans="1:18" s="28" customFormat="1" ht="25.5" x14ac:dyDescent="0.2">
      <c r="A492" s="22"/>
      <c r="B492" s="375" t="s">
        <v>18</v>
      </c>
      <c r="C492" s="412" t="s">
        <v>19</v>
      </c>
      <c r="D492" s="23"/>
      <c r="E492" s="23" t="s">
        <v>20</v>
      </c>
      <c r="F492" s="24" t="s">
        <v>21</v>
      </c>
      <c r="G492" s="25" t="s">
        <v>323</v>
      </c>
      <c r="H492" s="25" t="s">
        <v>23</v>
      </c>
      <c r="I492" s="26" t="s">
        <v>24</v>
      </c>
      <c r="J492" s="26" t="s">
        <v>25</v>
      </c>
      <c r="K492" s="25" t="s">
        <v>26</v>
      </c>
      <c r="L492" s="27"/>
      <c r="N492" s="9"/>
    </row>
    <row r="493" spans="1:18" x14ac:dyDescent="0.2">
      <c r="A493" s="58"/>
      <c r="B493" s="376" t="s">
        <v>240</v>
      </c>
      <c r="C493" s="413" t="s">
        <v>241</v>
      </c>
      <c r="D493" s="30"/>
      <c r="E493" s="197"/>
      <c r="F493" s="184"/>
      <c r="G493" s="140"/>
      <c r="H493" s="140"/>
      <c r="I493" s="140"/>
      <c r="J493" s="140"/>
      <c r="K493" s="34"/>
      <c r="L493" s="199"/>
      <c r="N493" s="9"/>
    </row>
    <row r="494" spans="1:18" ht="25.5" x14ac:dyDescent="0.2">
      <c r="A494" s="58"/>
      <c r="B494" s="376" t="s">
        <v>324</v>
      </c>
      <c r="C494" s="413" t="s">
        <v>325</v>
      </c>
      <c r="D494" s="30" t="s">
        <v>244</v>
      </c>
      <c r="E494" s="139">
        <f>I494/F494</f>
        <v>0</v>
      </c>
      <c r="F494" s="216">
        <v>25.6</v>
      </c>
      <c r="G494" s="140">
        <f>SUM(G495:G517)</f>
        <v>0</v>
      </c>
      <c r="H494" s="140">
        <f>SUM(H495:H517)</f>
        <v>0</v>
      </c>
      <c r="I494" s="140">
        <f>H494+G494</f>
        <v>0</v>
      </c>
      <c r="J494" s="140">
        <f>I494/100*21</f>
        <v>0</v>
      </c>
      <c r="K494" s="34">
        <f>J494+I494</f>
        <v>0</v>
      </c>
      <c r="L494" s="199"/>
      <c r="N494" s="9"/>
    </row>
    <row r="495" spans="1:18" ht="51" x14ac:dyDescent="0.2">
      <c r="A495" s="58"/>
      <c r="B495" s="382" t="s">
        <v>18</v>
      </c>
      <c r="C495" s="422" t="s">
        <v>694</v>
      </c>
      <c r="D495" s="112" t="s">
        <v>29</v>
      </c>
      <c r="E495" s="158"/>
      <c r="F495" s="150">
        <f>'RM VV'!D186</f>
        <v>0</v>
      </c>
      <c r="G495" s="61"/>
      <c r="H495" s="61"/>
      <c r="I495" s="63"/>
      <c r="J495" s="64"/>
      <c r="K495" s="65"/>
      <c r="L495" s="199"/>
      <c r="N495" s="9"/>
    </row>
    <row r="496" spans="1:18" x14ac:dyDescent="0.2">
      <c r="A496" s="58"/>
      <c r="B496" s="382"/>
      <c r="C496" s="422" t="s">
        <v>326</v>
      </c>
      <c r="D496" s="112"/>
      <c r="E496" s="158"/>
      <c r="F496" s="150"/>
      <c r="G496" s="61"/>
      <c r="H496" s="61"/>
      <c r="I496" s="63"/>
      <c r="J496" s="64"/>
      <c r="K496" s="65"/>
      <c r="L496" s="199"/>
      <c r="N496" s="9"/>
    </row>
    <row r="497" spans="1:14" x14ac:dyDescent="0.2">
      <c r="A497" s="58"/>
      <c r="B497" s="382" t="s">
        <v>34</v>
      </c>
      <c r="C497" s="422" t="s">
        <v>246</v>
      </c>
      <c r="D497" s="112" t="s">
        <v>29</v>
      </c>
      <c r="E497" s="159"/>
      <c r="F497" s="150">
        <v>225</v>
      </c>
      <c r="G497" s="61">
        <f>E497*F497</f>
        <v>0</v>
      </c>
      <c r="H497" s="61"/>
      <c r="I497" s="63">
        <v>2.9999999999999997E-4</v>
      </c>
      <c r="J497" s="145">
        <f>I497*F497</f>
        <v>6.7499999999999991E-2</v>
      </c>
      <c r="K497" s="146"/>
      <c r="L497" s="199"/>
      <c r="N497" s="9"/>
    </row>
    <row r="498" spans="1:14" x14ac:dyDescent="0.2">
      <c r="A498" s="58"/>
      <c r="B498" s="382" t="s">
        <v>34</v>
      </c>
      <c r="C498" s="414" t="s">
        <v>250</v>
      </c>
      <c r="D498" s="10" t="s">
        <v>29</v>
      </c>
      <c r="E498" s="149"/>
      <c r="F498" s="150">
        <v>760</v>
      </c>
      <c r="G498" s="61">
        <f>E498*F498</f>
        <v>0</v>
      </c>
      <c r="H498" s="61"/>
      <c r="I498" s="198">
        <v>4.0000000000000003E-5</v>
      </c>
      <c r="J498" s="145">
        <f>I498*F498</f>
        <v>3.0400000000000003E-2</v>
      </c>
      <c r="K498" s="146"/>
      <c r="L498" s="199"/>
      <c r="N498" s="9"/>
    </row>
    <row r="499" spans="1:14" x14ac:dyDescent="0.2">
      <c r="A499" s="58"/>
      <c r="B499" s="382" t="s">
        <v>32</v>
      </c>
      <c r="C499" s="414" t="s">
        <v>251</v>
      </c>
      <c r="D499" s="10" t="s">
        <v>66</v>
      </c>
      <c r="E499" s="149"/>
      <c r="F499" s="150">
        <f>F494</f>
        <v>25.6</v>
      </c>
      <c r="G499" s="61"/>
      <c r="H499" s="61">
        <f>E499*F499</f>
        <v>0</v>
      </c>
      <c r="I499" s="63"/>
      <c r="J499" s="145"/>
      <c r="K499" s="146"/>
      <c r="L499" s="199"/>
      <c r="N499" s="9"/>
    </row>
    <row r="500" spans="1:14" ht="25.5" x14ac:dyDescent="0.2">
      <c r="A500" s="58"/>
      <c r="B500" s="377" t="s">
        <v>34</v>
      </c>
      <c r="C500" s="414" t="s">
        <v>327</v>
      </c>
      <c r="D500" s="10" t="s">
        <v>39</v>
      </c>
      <c r="E500" s="149"/>
      <c r="F500" s="59">
        <f>F494*0.39*1.1</f>
        <v>10.982400000000002</v>
      </c>
      <c r="G500" s="62">
        <f>E500*F500</f>
        <v>0</v>
      </c>
      <c r="H500" s="62"/>
      <c r="I500" s="144"/>
      <c r="J500" s="145"/>
      <c r="K500" s="146"/>
      <c r="L500" s="199"/>
      <c r="N500" s="9"/>
    </row>
    <row r="501" spans="1:14" ht="25.5" x14ac:dyDescent="0.2">
      <c r="A501" s="58"/>
      <c r="B501" s="382">
        <v>181351006</v>
      </c>
      <c r="C501" s="414" t="s">
        <v>328</v>
      </c>
      <c r="D501" s="10" t="s">
        <v>66</v>
      </c>
      <c r="E501" s="148"/>
      <c r="F501" s="217">
        <f>F494</f>
        <v>25.6</v>
      </c>
      <c r="G501" s="62"/>
      <c r="H501" s="62">
        <f>E501*F501</f>
        <v>0</v>
      </c>
      <c r="I501" s="144"/>
      <c r="J501" s="145"/>
      <c r="K501" s="146"/>
      <c r="L501" s="199"/>
      <c r="N501" s="9"/>
    </row>
    <row r="502" spans="1:14" ht="25.5" x14ac:dyDescent="0.2">
      <c r="A502" s="58"/>
      <c r="B502" s="382" t="s">
        <v>32</v>
      </c>
      <c r="C502" s="414" t="s">
        <v>329</v>
      </c>
      <c r="D502" s="10" t="s">
        <v>39</v>
      </c>
      <c r="E502" s="148"/>
      <c r="F502" s="217">
        <f>F494*0.1</f>
        <v>2.5600000000000005</v>
      </c>
      <c r="G502" s="62"/>
      <c r="H502" s="62">
        <f>E502*F502</f>
        <v>0</v>
      </c>
      <c r="I502" s="144"/>
      <c r="J502" s="145"/>
      <c r="K502" s="146"/>
      <c r="L502" s="199"/>
      <c r="N502" s="9"/>
    </row>
    <row r="503" spans="1:14" ht="25.5" x14ac:dyDescent="0.2">
      <c r="A503" s="58"/>
      <c r="B503" s="382">
        <v>183111111</v>
      </c>
      <c r="C503" s="414" t="s">
        <v>273</v>
      </c>
      <c r="D503" s="10" t="s">
        <v>31</v>
      </c>
      <c r="E503" s="141"/>
      <c r="F503" s="150">
        <f>F497</f>
        <v>225</v>
      </c>
      <c r="G503" s="61"/>
      <c r="H503" s="61">
        <f>E503*F503</f>
        <v>0</v>
      </c>
      <c r="I503" s="63"/>
      <c r="J503" s="145"/>
      <c r="K503" s="146"/>
      <c r="L503" s="199"/>
      <c r="N503" s="9"/>
    </row>
    <row r="504" spans="1:14" x14ac:dyDescent="0.2">
      <c r="A504" s="58"/>
      <c r="B504" s="382">
        <v>183211322</v>
      </c>
      <c r="C504" s="414" t="s">
        <v>274</v>
      </c>
      <c r="D504" s="10" t="s">
        <v>31</v>
      </c>
      <c r="E504" s="141"/>
      <c r="F504" s="150">
        <f>F503</f>
        <v>225</v>
      </c>
      <c r="G504" s="61"/>
      <c r="H504" s="61">
        <f>E504*F504</f>
        <v>0</v>
      </c>
      <c r="I504" s="63"/>
      <c r="J504" s="145"/>
      <c r="K504" s="146"/>
      <c r="L504" s="199"/>
      <c r="N504" s="9"/>
    </row>
    <row r="505" spans="1:14" x14ac:dyDescent="0.2">
      <c r="A505" s="58"/>
      <c r="B505" s="382" t="s">
        <v>34</v>
      </c>
      <c r="C505" s="414" t="s">
        <v>277</v>
      </c>
      <c r="D505" s="10" t="s">
        <v>29</v>
      </c>
      <c r="E505" s="141"/>
      <c r="F505" s="150">
        <f>F497</f>
        <v>225</v>
      </c>
      <c r="G505" s="61">
        <f>E505*F505</f>
        <v>0</v>
      </c>
      <c r="H505" s="61"/>
      <c r="I505" s="63"/>
      <c r="J505" s="145"/>
      <c r="K505" s="146"/>
      <c r="L505" s="199"/>
      <c r="N505" s="9"/>
    </row>
    <row r="506" spans="1:14" x14ac:dyDescent="0.2">
      <c r="A506" s="58"/>
      <c r="B506" s="377">
        <v>185802114</v>
      </c>
      <c r="C506" s="414" t="s">
        <v>138</v>
      </c>
      <c r="D506" s="10" t="s">
        <v>16</v>
      </c>
      <c r="E506" s="148"/>
      <c r="F506" s="218">
        <f>(F505/100000)</f>
        <v>2.2499999999999998E-3</v>
      </c>
      <c r="G506" s="62"/>
      <c r="H506" s="62">
        <f>E506*F506</f>
        <v>0</v>
      </c>
      <c r="I506" s="144"/>
      <c r="J506" s="145"/>
      <c r="K506" s="146"/>
      <c r="N506" s="9"/>
    </row>
    <row r="507" spans="1:14" x14ac:dyDescent="0.2">
      <c r="A507" s="58"/>
      <c r="B507" s="377" t="s">
        <v>32</v>
      </c>
      <c r="C507" s="414" t="s">
        <v>278</v>
      </c>
      <c r="D507" s="10" t="s">
        <v>279</v>
      </c>
      <c r="E507" s="148"/>
      <c r="F507" s="219">
        <f>E508*0.25</f>
        <v>0</v>
      </c>
      <c r="G507" s="62"/>
      <c r="H507" s="62">
        <f>E507*F507</f>
        <v>0</v>
      </c>
      <c r="I507" s="144"/>
      <c r="J507" s="145"/>
      <c r="K507" s="146"/>
      <c r="N507" s="9"/>
    </row>
    <row r="508" spans="1:14" ht="25.5" x14ac:dyDescent="0.2">
      <c r="A508" s="10"/>
      <c r="B508" s="381" t="s">
        <v>18</v>
      </c>
      <c r="C508" s="421" t="s">
        <v>280</v>
      </c>
      <c r="D508" s="202" t="s">
        <v>281</v>
      </c>
      <c r="E508" s="203"/>
      <c r="F508" s="150">
        <f>E508*10</f>
        <v>0</v>
      </c>
      <c r="G508" s="62"/>
      <c r="H508" s="62"/>
      <c r="I508" s="144"/>
      <c r="J508" s="145"/>
      <c r="K508" s="146"/>
      <c r="N508" s="9"/>
    </row>
    <row r="509" spans="1:14" x14ac:dyDescent="0.2">
      <c r="A509" s="10"/>
      <c r="B509" s="377" t="s">
        <v>34</v>
      </c>
      <c r="C509" s="414" t="s">
        <v>282</v>
      </c>
      <c r="D509" s="10" t="s">
        <v>36</v>
      </c>
      <c r="E509" s="148"/>
      <c r="F509" s="10">
        <f>F508*0.04</f>
        <v>0</v>
      </c>
      <c r="G509" s="62">
        <f>E509*F509</f>
        <v>0</v>
      </c>
      <c r="H509" s="62"/>
      <c r="I509" s="144"/>
      <c r="J509" s="145"/>
      <c r="K509" s="146"/>
      <c r="N509" s="9"/>
    </row>
    <row r="510" spans="1:14" ht="25.5" x14ac:dyDescent="0.2">
      <c r="A510" s="10"/>
      <c r="B510" s="382" t="s">
        <v>32</v>
      </c>
      <c r="C510" s="414" t="s">
        <v>284</v>
      </c>
      <c r="D510" s="10" t="s">
        <v>31</v>
      </c>
      <c r="E510" s="141"/>
      <c r="F510" s="150">
        <f>F498</f>
        <v>760</v>
      </c>
      <c r="G510" s="61"/>
      <c r="H510" s="61">
        <f>E510*F510</f>
        <v>0</v>
      </c>
      <c r="I510" s="63"/>
      <c r="J510" s="145"/>
      <c r="K510" s="146"/>
      <c r="N510" s="9"/>
    </row>
    <row r="511" spans="1:14" x14ac:dyDescent="0.2">
      <c r="A511" s="58"/>
      <c r="B511" s="382" t="s">
        <v>32</v>
      </c>
      <c r="C511" s="414" t="s">
        <v>283</v>
      </c>
      <c r="D511" s="10" t="s">
        <v>31</v>
      </c>
      <c r="E511" s="141"/>
      <c r="F511" s="150">
        <f>F510</f>
        <v>760</v>
      </c>
      <c r="G511" s="61"/>
      <c r="H511" s="61">
        <f>E511*F511</f>
        <v>0</v>
      </c>
      <c r="I511" s="63"/>
      <c r="J511" s="145"/>
      <c r="K511" s="146"/>
      <c r="N511" s="9"/>
    </row>
    <row r="512" spans="1:14" ht="25.5" x14ac:dyDescent="0.2">
      <c r="A512" s="58"/>
      <c r="B512" s="382" t="s">
        <v>34</v>
      </c>
      <c r="C512" s="414" t="s">
        <v>286</v>
      </c>
      <c r="D512" s="10" t="s">
        <v>39</v>
      </c>
      <c r="E512" s="148"/>
      <c r="F512" s="219">
        <f>F494*0.05*1.1</f>
        <v>1.4080000000000004</v>
      </c>
      <c r="G512" s="61">
        <f>E512*F512</f>
        <v>0</v>
      </c>
      <c r="H512" s="61"/>
      <c r="I512" s="63"/>
      <c r="J512" s="145"/>
      <c r="K512" s="146"/>
      <c r="N512" s="9"/>
    </row>
    <row r="513" spans="1:18" x14ac:dyDescent="0.2">
      <c r="A513" s="58"/>
      <c r="B513" s="377">
        <v>184911161</v>
      </c>
      <c r="C513" s="414" t="s">
        <v>287</v>
      </c>
      <c r="D513" s="10" t="s">
        <v>66</v>
      </c>
      <c r="E513" s="141"/>
      <c r="F513" s="217">
        <f>F494</f>
        <v>25.6</v>
      </c>
      <c r="G513" s="61"/>
      <c r="H513" s="61">
        <f>E513*F513</f>
        <v>0</v>
      </c>
      <c r="I513" s="63"/>
      <c r="J513" s="145"/>
      <c r="K513" s="146"/>
      <c r="N513" s="9"/>
    </row>
    <row r="514" spans="1:18" x14ac:dyDescent="0.2">
      <c r="A514" s="58"/>
      <c r="B514" s="377">
        <v>185804312</v>
      </c>
      <c r="C514" s="414" t="s">
        <v>288</v>
      </c>
      <c r="D514" s="10" t="s">
        <v>39</v>
      </c>
      <c r="E514" s="148"/>
      <c r="F514" s="150">
        <f>F494*0.02*2</f>
        <v>1.024</v>
      </c>
      <c r="G514" s="62"/>
      <c r="H514" s="62">
        <f>E514*F514</f>
        <v>0</v>
      </c>
      <c r="I514" s="144"/>
      <c r="J514" s="145"/>
      <c r="K514" s="146"/>
      <c r="N514" s="9"/>
    </row>
    <row r="515" spans="1:18" x14ac:dyDescent="0.2">
      <c r="A515" s="10"/>
      <c r="B515" s="377">
        <v>185804111</v>
      </c>
      <c r="C515" s="414" t="s">
        <v>289</v>
      </c>
      <c r="D515" s="10" t="s">
        <v>66</v>
      </c>
      <c r="E515" s="141"/>
      <c r="F515" s="150">
        <f>F494</f>
        <v>25.6</v>
      </c>
      <c r="G515" s="62"/>
      <c r="H515" s="62">
        <f>E515*F515</f>
        <v>0</v>
      </c>
      <c r="I515" s="144"/>
      <c r="J515" s="145"/>
      <c r="K515" s="146"/>
      <c r="L515" s="199"/>
      <c r="N515" s="9"/>
    </row>
    <row r="516" spans="1:18" x14ac:dyDescent="0.2">
      <c r="A516" s="10"/>
      <c r="B516" s="377" t="s">
        <v>90</v>
      </c>
      <c r="C516" s="414" t="s">
        <v>290</v>
      </c>
      <c r="D516" s="10" t="s">
        <v>39</v>
      </c>
      <c r="E516" s="148"/>
      <c r="F516" s="10">
        <f>F494*0.002</f>
        <v>5.1200000000000002E-2</v>
      </c>
      <c r="G516" s="62">
        <f>E516*F516</f>
        <v>0</v>
      </c>
      <c r="H516" s="62"/>
      <c r="I516" s="144"/>
      <c r="J516" s="145"/>
      <c r="K516" s="146"/>
      <c r="L516" s="199"/>
      <c r="N516" s="9"/>
    </row>
    <row r="517" spans="1:18" s="9" customFormat="1" ht="12.75" x14ac:dyDescent="0.2">
      <c r="A517" s="58"/>
      <c r="B517" s="385">
        <v>998231411</v>
      </c>
      <c r="C517" s="425" t="s">
        <v>94</v>
      </c>
      <c r="D517" s="164" t="s">
        <v>16</v>
      </c>
      <c r="E517" s="183"/>
      <c r="F517" s="166">
        <f>J517</f>
        <v>9.7899999999999987E-2</v>
      </c>
      <c r="G517" s="119"/>
      <c r="H517" s="119">
        <f>E517*F517</f>
        <v>0</v>
      </c>
      <c r="I517" s="136" t="s">
        <v>6</v>
      </c>
      <c r="J517" s="206">
        <f>SUM(J495:J516)</f>
        <v>9.7899999999999987E-2</v>
      </c>
      <c r="K517" s="96"/>
      <c r="L517" s="8"/>
    </row>
    <row r="518" spans="1:18" s="9" customFormat="1" ht="12.75" x14ac:dyDescent="0.2">
      <c r="A518" s="58"/>
      <c r="B518" s="377"/>
      <c r="C518" s="414"/>
      <c r="D518" s="59"/>
      <c r="E518" s="60"/>
      <c r="F518" s="59"/>
      <c r="G518" s="61"/>
      <c r="H518" s="62"/>
      <c r="I518" s="63"/>
      <c r="J518" s="64"/>
      <c r="K518" s="65"/>
      <c r="L518" s="20"/>
      <c r="M518" s="82"/>
      <c r="O518" s="82"/>
      <c r="P518" s="82"/>
      <c r="Q518" s="82"/>
      <c r="R518" s="82"/>
    </row>
    <row r="519" spans="1:18" s="28" customFormat="1" ht="25.5" x14ac:dyDescent="0.2">
      <c r="A519" s="22"/>
      <c r="B519" s="375" t="s">
        <v>18</v>
      </c>
      <c r="C519" s="412" t="s">
        <v>19</v>
      </c>
      <c r="D519" s="23"/>
      <c r="E519" s="23" t="s">
        <v>20</v>
      </c>
      <c r="F519" s="24" t="s">
        <v>21</v>
      </c>
      <c r="G519" s="25" t="s">
        <v>323</v>
      </c>
      <c r="H519" s="25" t="s">
        <v>23</v>
      </c>
      <c r="I519" s="26" t="s">
        <v>24</v>
      </c>
      <c r="J519" s="26" t="s">
        <v>25</v>
      </c>
      <c r="K519" s="25" t="s">
        <v>26</v>
      </c>
      <c r="L519" s="27"/>
      <c r="N519" s="9"/>
    </row>
    <row r="520" spans="1:18" x14ac:dyDescent="0.2">
      <c r="A520" s="58"/>
      <c r="B520" s="376" t="s">
        <v>240</v>
      </c>
      <c r="C520" s="413" t="s">
        <v>241</v>
      </c>
      <c r="D520" s="30"/>
      <c r="E520" s="197"/>
      <c r="F520" s="184"/>
      <c r="G520" s="140"/>
      <c r="H520" s="140"/>
      <c r="I520" s="140"/>
      <c r="J520" s="140"/>
      <c r="K520" s="34"/>
      <c r="L520" s="199"/>
      <c r="N520" s="9"/>
    </row>
    <row r="521" spans="1:18" ht="25.5" x14ac:dyDescent="0.2">
      <c r="A521" s="58"/>
      <c r="B521" s="376" t="s">
        <v>330</v>
      </c>
      <c r="C521" s="413" t="s">
        <v>331</v>
      </c>
      <c r="D521" s="30" t="s">
        <v>244</v>
      </c>
      <c r="E521" s="139">
        <f>I521/F521</f>
        <v>0</v>
      </c>
      <c r="F521" s="216">
        <v>87</v>
      </c>
      <c r="G521" s="140">
        <f>SUM(G522:G533)</f>
        <v>0</v>
      </c>
      <c r="H521" s="140">
        <f>SUM(H522:H533)</f>
        <v>0</v>
      </c>
      <c r="I521" s="140">
        <f>H521+G521</f>
        <v>0</v>
      </c>
      <c r="J521" s="140">
        <f>I521/100*21</f>
        <v>0</v>
      </c>
      <c r="K521" s="34">
        <f>J521+I521</f>
        <v>0</v>
      </c>
      <c r="L521" s="199"/>
      <c r="N521" s="9"/>
    </row>
    <row r="522" spans="1:18" x14ac:dyDescent="0.2">
      <c r="A522" s="58"/>
      <c r="B522" s="382" t="s">
        <v>18</v>
      </c>
      <c r="C522" s="422" t="s">
        <v>332</v>
      </c>
      <c r="D522" s="112"/>
      <c r="E522" s="158"/>
      <c r="F522" s="150"/>
      <c r="G522" s="61"/>
      <c r="H522" s="61"/>
      <c r="I522" s="63"/>
      <c r="J522" s="64"/>
      <c r="K522" s="65"/>
      <c r="L522" s="199"/>
      <c r="N522" s="9"/>
    </row>
    <row r="523" spans="1:18" x14ac:dyDescent="0.2">
      <c r="A523" s="58"/>
      <c r="B523" s="382" t="s">
        <v>333</v>
      </c>
      <c r="C523" s="422" t="s">
        <v>334</v>
      </c>
      <c r="D523" s="112"/>
      <c r="E523" s="158"/>
      <c r="F523" s="150"/>
      <c r="G523" s="61"/>
      <c r="H523" s="61"/>
      <c r="I523" s="63"/>
      <c r="J523" s="64"/>
      <c r="K523" s="65"/>
      <c r="L523" s="199"/>
      <c r="N523" s="9"/>
    </row>
    <row r="524" spans="1:18" ht="25.5" x14ac:dyDescent="0.2">
      <c r="A524" s="58"/>
      <c r="B524" s="382" t="s">
        <v>18</v>
      </c>
      <c r="C524" s="422" t="s">
        <v>335</v>
      </c>
      <c r="D524" s="112"/>
      <c r="E524" s="158"/>
      <c r="F524" s="150"/>
      <c r="G524" s="61"/>
      <c r="H524" s="61"/>
      <c r="I524" s="63"/>
      <c r="J524" s="145"/>
      <c r="K524" s="146"/>
      <c r="L524" s="199"/>
      <c r="N524" s="9"/>
    </row>
    <row r="525" spans="1:18" x14ac:dyDescent="0.2">
      <c r="A525" s="58"/>
      <c r="B525" s="382" t="s">
        <v>336</v>
      </c>
      <c r="C525" s="422" t="s">
        <v>337</v>
      </c>
      <c r="D525" s="10"/>
      <c r="E525" s="152"/>
      <c r="F525" s="150"/>
      <c r="G525" s="61"/>
      <c r="H525" s="61"/>
      <c r="I525" s="63"/>
      <c r="J525" s="145"/>
      <c r="K525" s="146"/>
      <c r="L525" s="199"/>
      <c r="N525" s="9"/>
    </row>
    <row r="526" spans="1:18" ht="25.5" x14ac:dyDescent="0.2">
      <c r="A526" s="58"/>
      <c r="B526" s="377" t="s">
        <v>34</v>
      </c>
      <c r="C526" s="414" t="s">
        <v>327</v>
      </c>
      <c r="D526" s="10"/>
      <c r="E526" s="152"/>
      <c r="F526" s="10"/>
      <c r="G526" s="62"/>
      <c r="H526" s="62"/>
      <c r="I526" s="144"/>
      <c r="J526" s="145"/>
      <c r="K526" s="146"/>
      <c r="L526" s="199"/>
      <c r="N526" s="9"/>
    </row>
    <row r="527" spans="1:18" ht="114.75" x14ac:dyDescent="0.2">
      <c r="A527" s="58"/>
      <c r="B527" s="382"/>
      <c r="C527" s="422" t="s">
        <v>338</v>
      </c>
      <c r="D527" s="10"/>
      <c r="E527" s="141"/>
      <c r="F527" s="217"/>
      <c r="G527" s="62"/>
      <c r="H527" s="62"/>
      <c r="I527" s="144"/>
      <c r="J527" s="145"/>
      <c r="K527" s="146"/>
      <c r="L527" s="199"/>
      <c r="N527" s="9"/>
    </row>
    <row r="528" spans="1:18" x14ac:dyDescent="0.2">
      <c r="A528" s="58"/>
      <c r="B528" s="377">
        <v>185804312</v>
      </c>
      <c r="C528" s="414" t="s">
        <v>288</v>
      </c>
      <c r="D528" s="10" t="s">
        <v>39</v>
      </c>
      <c r="E528" s="148"/>
      <c r="F528" s="150">
        <f>F521*0.02*2</f>
        <v>3.48</v>
      </c>
      <c r="G528" s="62"/>
      <c r="H528" s="62">
        <f>E528*F528</f>
        <v>0</v>
      </c>
      <c r="I528" s="144"/>
      <c r="J528" s="145"/>
      <c r="K528" s="146"/>
      <c r="L528" s="199"/>
      <c r="N528" s="9"/>
    </row>
    <row r="529" spans="1:14" ht="25.5" x14ac:dyDescent="0.2">
      <c r="A529" s="10"/>
      <c r="B529" s="382" t="s">
        <v>34</v>
      </c>
      <c r="C529" s="414" t="s">
        <v>286</v>
      </c>
      <c r="D529" s="10" t="s">
        <v>39</v>
      </c>
      <c r="E529" s="148"/>
      <c r="F529" s="219">
        <f>F521*0.05*1.1</f>
        <v>4.785000000000001</v>
      </c>
      <c r="G529" s="61">
        <f>E529*F529</f>
        <v>0</v>
      </c>
      <c r="H529" s="61"/>
      <c r="I529" s="63"/>
      <c r="J529" s="145"/>
      <c r="K529" s="146"/>
      <c r="L529" s="199"/>
      <c r="N529" s="9"/>
    </row>
    <row r="530" spans="1:14" x14ac:dyDescent="0.2">
      <c r="A530" s="10"/>
      <c r="B530" s="377">
        <v>184911161</v>
      </c>
      <c r="C530" s="414" t="s">
        <v>287</v>
      </c>
      <c r="D530" s="10" t="s">
        <v>66</v>
      </c>
      <c r="E530" s="141"/>
      <c r="F530" s="217">
        <f>F521</f>
        <v>87</v>
      </c>
      <c r="G530" s="61"/>
      <c r="H530" s="61">
        <f>E530*F530</f>
        <v>0</v>
      </c>
      <c r="I530" s="63"/>
      <c r="J530" s="145"/>
      <c r="K530" s="146"/>
      <c r="L530" s="199"/>
      <c r="N530" s="9"/>
    </row>
    <row r="531" spans="1:14" x14ac:dyDescent="0.2">
      <c r="A531" s="10"/>
      <c r="B531" s="377">
        <v>185804111</v>
      </c>
      <c r="C531" s="414" t="s">
        <v>289</v>
      </c>
      <c r="D531" s="10" t="s">
        <v>66</v>
      </c>
      <c r="E531" s="141"/>
      <c r="F531" s="150">
        <f>F521</f>
        <v>87</v>
      </c>
      <c r="G531" s="62"/>
      <c r="H531" s="62">
        <f>E531*F531</f>
        <v>0</v>
      </c>
      <c r="I531" s="144"/>
      <c r="J531" s="145"/>
      <c r="K531" s="146"/>
      <c r="L531" s="199"/>
      <c r="N531" s="9"/>
    </row>
    <row r="532" spans="1:14" x14ac:dyDescent="0.2">
      <c r="A532" s="58"/>
      <c r="B532" s="377" t="s">
        <v>90</v>
      </c>
      <c r="C532" s="414" t="s">
        <v>290</v>
      </c>
      <c r="D532" s="10" t="s">
        <v>39</v>
      </c>
      <c r="E532" s="148"/>
      <c r="F532" s="10">
        <f>F521*0.002</f>
        <v>0.17400000000000002</v>
      </c>
      <c r="G532" s="62">
        <f>E532*F532</f>
        <v>0</v>
      </c>
      <c r="H532" s="62"/>
      <c r="I532" s="144"/>
      <c r="J532" s="145"/>
      <c r="K532" s="146"/>
      <c r="L532" s="199"/>
      <c r="N532" s="9"/>
    </row>
    <row r="533" spans="1:14" x14ac:dyDescent="0.2">
      <c r="A533" s="58"/>
      <c r="B533" s="385">
        <v>998231411</v>
      </c>
      <c r="C533" s="425" t="s">
        <v>94</v>
      </c>
      <c r="D533" s="164" t="s">
        <v>16</v>
      </c>
      <c r="E533" s="183"/>
      <c r="F533" s="166">
        <f>J533</f>
        <v>0</v>
      </c>
      <c r="G533" s="119"/>
      <c r="H533" s="119">
        <f>E533*F533</f>
        <v>0</v>
      </c>
      <c r="I533" s="136" t="s">
        <v>6</v>
      </c>
      <c r="J533" s="121">
        <f>SUM(J522:J532)</f>
        <v>0</v>
      </c>
      <c r="K533" s="220"/>
      <c r="L533" s="199"/>
      <c r="N533" s="9"/>
    </row>
    <row r="534" spans="1:14" x14ac:dyDescent="0.2">
      <c r="A534" s="58"/>
      <c r="B534" s="382"/>
      <c r="C534" s="422"/>
      <c r="D534" s="112"/>
      <c r="E534" s="141"/>
      <c r="F534" s="132"/>
      <c r="G534" s="61"/>
      <c r="H534" s="61"/>
      <c r="I534" s="63"/>
      <c r="J534" s="145"/>
      <c r="K534" s="146"/>
      <c r="L534" s="199"/>
      <c r="N534" s="9"/>
    </row>
    <row r="535" spans="1:14" s="28" customFormat="1" ht="25.5" x14ac:dyDescent="0.2">
      <c r="A535" s="22"/>
      <c r="B535" s="375" t="s">
        <v>18</v>
      </c>
      <c r="C535" s="412" t="s">
        <v>19</v>
      </c>
      <c r="D535" s="23"/>
      <c r="E535" s="23" t="s">
        <v>20</v>
      </c>
      <c r="F535" s="24" t="s">
        <v>121</v>
      </c>
      <c r="G535" s="25" t="s">
        <v>323</v>
      </c>
      <c r="H535" s="25" t="s">
        <v>23</v>
      </c>
      <c r="I535" s="26" t="s">
        <v>24</v>
      </c>
      <c r="J535" s="26" t="s">
        <v>25</v>
      </c>
      <c r="K535" s="25" t="s">
        <v>26</v>
      </c>
      <c r="L535" s="27"/>
      <c r="N535" s="9"/>
    </row>
    <row r="536" spans="1:14" x14ac:dyDescent="0.2">
      <c r="A536" s="58"/>
      <c r="B536" s="376" t="s">
        <v>339</v>
      </c>
      <c r="C536" s="413" t="s">
        <v>340</v>
      </c>
      <c r="D536" s="30"/>
      <c r="E536" s="197"/>
      <c r="F536" s="184"/>
      <c r="G536" s="140"/>
      <c r="H536" s="140"/>
      <c r="I536" s="140"/>
      <c r="J536" s="140"/>
      <c r="K536" s="34"/>
      <c r="L536" s="199"/>
      <c r="N536" s="9"/>
    </row>
    <row r="537" spans="1:14" ht="15" x14ac:dyDescent="0.2">
      <c r="A537" s="58"/>
      <c r="B537" s="376" t="s">
        <v>341</v>
      </c>
      <c r="C537" s="413" t="s">
        <v>342</v>
      </c>
      <c r="D537" s="30" t="s">
        <v>244</v>
      </c>
      <c r="E537" s="139">
        <f>I537/F537</f>
        <v>0</v>
      </c>
      <c r="F537" s="184">
        <v>3136</v>
      </c>
      <c r="G537" s="140">
        <f>SUM(G538:G577)</f>
        <v>0</v>
      </c>
      <c r="H537" s="140">
        <f>SUM(H538:H577)</f>
        <v>0</v>
      </c>
      <c r="I537" s="140">
        <f>H537+G537</f>
        <v>0</v>
      </c>
      <c r="J537" s="140">
        <f>I537/100*21</f>
        <v>0</v>
      </c>
      <c r="K537" s="34">
        <f>J537+I537</f>
        <v>0</v>
      </c>
      <c r="L537" s="199"/>
      <c r="N537" s="9"/>
    </row>
    <row r="538" spans="1:14" ht="25.5" x14ac:dyDescent="0.2">
      <c r="A538" s="58"/>
      <c r="B538" s="382"/>
      <c r="C538" s="427" t="s">
        <v>343</v>
      </c>
      <c r="D538" s="161"/>
      <c r="E538" s="221"/>
      <c r="F538" s="161"/>
      <c r="G538" s="61"/>
      <c r="H538" s="61"/>
      <c r="I538" s="61"/>
      <c r="J538" s="61"/>
      <c r="K538" s="65"/>
      <c r="L538" s="199"/>
      <c r="N538" s="9"/>
    </row>
    <row r="539" spans="1:14" s="9" customFormat="1" ht="38.25" x14ac:dyDescent="0.2">
      <c r="A539" s="58"/>
      <c r="B539" s="377"/>
      <c r="C539" s="421" t="s">
        <v>344</v>
      </c>
      <c r="D539" s="10" t="s">
        <v>345</v>
      </c>
      <c r="E539" s="148"/>
      <c r="F539" s="222">
        <f>F537*0.03</f>
        <v>94.08</v>
      </c>
      <c r="G539" s="62">
        <f>E539*F539</f>
        <v>0</v>
      </c>
      <c r="H539" s="62"/>
      <c r="I539" s="144">
        <v>1E-3</v>
      </c>
      <c r="J539" s="145">
        <f>I539*F539</f>
        <v>9.4079999999999997E-2</v>
      </c>
      <c r="K539" s="146"/>
      <c r="L539" s="214"/>
    </row>
    <row r="540" spans="1:14" s="9" customFormat="1" ht="12.75" x14ac:dyDescent="0.2">
      <c r="A540" s="58"/>
      <c r="B540" s="377"/>
      <c r="C540" s="421" t="s">
        <v>346</v>
      </c>
      <c r="D540" s="10"/>
      <c r="E540" s="141"/>
      <c r="F540" s="10"/>
      <c r="G540" s="62"/>
      <c r="H540" s="62"/>
      <c r="I540" s="144"/>
      <c r="J540" s="145"/>
      <c r="K540" s="146"/>
      <c r="L540" s="214"/>
    </row>
    <row r="541" spans="1:14" s="9" customFormat="1" ht="51" x14ac:dyDescent="0.2">
      <c r="A541" s="58"/>
      <c r="B541" s="377"/>
      <c r="C541" s="421" t="s">
        <v>347</v>
      </c>
      <c r="D541" s="10"/>
      <c r="E541" s="141"/>
      <c r="F541" s="10"/>
      <c r="G541" s="62"/>
      <c r="H541" s="62"/>
      <c r="I541" s="144"/>
      <c r="J541" s="145"/>
      <c r="K541" s="146"/>
      <c r="L541" s="214"/>
    </row>
    <row r="542" spans="1:14" s="9" customFormat="1" ht="25.5" x14ac:dyDescent="0.2">
      <c r="A542" s="58"/>
      <c r="B542" s="377">
        <v>184802111</v>
      </c>
      <c r="C542" s="414" t="s">
        <v>348</v>
      </c>
      <c r="D542" s="10" t="s">
        <v>66</v>
      </c>
      <c r="E542" s="141"/>
      <c r="F542" s="10">
        <f>F537*0.1</f>
        <v>313.60000000000002</v>
      </c>
      <c r="G542" s="62"/>
      <c r="H542" s="62">
        <f>E542*F542</f>
        <v>0</v>
      </c>
      <c r="I542" s="144"/>
      <c r="J542" s="145"/>
      <c r="K542" s="146"/>
      <c r="L542" s="8"/>
    </row>
    <row r="543" spans="1:14" s="9" customFormat="1" ht="12.75" x14ac:dyDescent="0.2">
      <c r="A543" s="58"/>
      <c r="B543" s="377" t="s">
        <v>34</v>
      </c>
      <c r="C543" s="414" t="s">
        <v>349</v>
      </c>
      <c r="D543" s="10" t="s">
        <v>36</v>
      </c>
      <c r="E543" s="148"/>
      <c r="F543" s="10">
        <f>0.1/100*F542</f>
        <v>0.31360000000000005</v>
      </c>
      <c r="G543" s="62">
        <f>E543*F543</f>
        <v>0</v>
      </c>
      <c r="H543" s="62"/>
      <c r="I543" s="144"/>
      <c r="J543" s="145"/>
      <c r="K543" s="146"/>
      <c r="L543" s="8"/>
    </row>
    <row r="544" spans="1:14" s="9" customFormat="1" ht="12.75" x14ac:dyDescent="0.2">
      <c r="A544" s="58"/>
      <c r="B544" s="377" t="s">
        <v>32</v>
      </c>
      <c r="C544" s="414" t="s">
        <v>221</v>
      </c>
      <c r="D544" s="10" t="s">
        <v>66</v>
      </c>
      <c r="E544" s="141"/>
      <c r="F544" s="150">
        <f>F537</f>
        <v>3136</v>
      </c>
      <c r="G544" s="62"/>
      <c r="H544" s="62">
        <f>E544*F544</f>
        <v>0</v>
      </c>
      <c r="I544" s="144"/>
      <c r="J544" s="145"/>
      <c r="K544" s="146"/>
      <c r="L544" s="8"/>
    </row>
    <row r="545" spans="1:12" s="9" customFormat="1" ht="12.75" x14ac:dyDescent="0.2">
      <c r="A545" s="58"/>
      <c r="B545" s="377" t="s">
        <v>18</v>
      </c>
      <c r="C545" s="421" t="s">
        <v>255</v>
      </c>
      <c r="D545" s="10"/>
      <c r="E545" s="152"/>
      <c r="F545" s="150"/>
      <c r="G545" s="62"/>
      <c r="H545" s="62"/>
      <c r="I545" s="144"/>
      <c r="J545" s="145"/>
      <c r="K545" s="146"/>
      <c r="L545" s="8"/>
    </row>
    <row r="546" spans="1:12" s="9" customFormat="1" ht="25.5" x14ac:dyDescent="0.2">
      <c r="A546" s="58"/>
      <c r="B546" s="377">
        <v>111151431</v>
      </c>
      <c r="C546" s="414" t="s">
        <v>350</v>
      </c>
      <c r="D546" s="10" t="s">
        <v>66</v>
      </c>
      <c r="E546" s="141"/>
      <c r="F546" s="150">
        <f>F537</f>
        <v>3136</v>
      </c>
      <c r="G546" s="223"/>
      <c r="H546" s="62">
        <f>E546*F546</f>
        <v>0</v>
      </c>
      <c r="I546" s="144"/>
      <c r="J546" s="145"/>
      <c r="K546" s="146"/>
      <c r="L546" s="8"/>
    </row>
    <row r="547" spans="1:12" s="9" customFormat="1" ht="12.75" x14ac:dyDescent="0.2">
      <c r="A547" s="58"/>
      <c r="B547" s="377" t="s">
        <v>90</v>
      </c>
      <c r="C547" s="414" t="s">
        <v>351</v>
      </c>
      <c r="D547" s="10" t="s">
        <v>39</v>
      </c>
      <c r="E547" s="149"/>
      <c r="F547" s="10">
        <f>F537*0.03</f>
        <v>94.08</v>
      </c>
      <c r="G547" s="62"/>
      <c r="H547" s="62">
        <f>E547*F547</f>
        <v>0</v>
      </c>
      <c r="I547" s="144"/>
      <c r="J547" s="145"/>
      <c r="K547" s="146"/>
      <c r="L547" s="8"/>
    </row>
    <row r="548" spans="1:12" s="9" customFormat="1" ht="12.75" x14ac:dyDescent="0.2">
      <c r="A548" s="58"/>
      <c r="B548" s="377">
        <v>121151123</v>
      </c>
      <c r="C548" s="414" t="s">
        <v>352</v>
      </c>
      <c r="D548" s="10" t="s">
        <v>66</v>
      </c>
      <c r="E548" s="152"/>
      <c r="F548" s="150">
        <f>F537</f>
        <v>3136</v>
      </c>
      <c r="G548" s="62"/>
      <c r="H548" s="62">
        <f>E548*F548</f>
        <v>0</v>
      </c>
      <c r="I548" s="144"/>
      <c r="J548" s="145"/>
      <c r="K548" s="146"/>
      <c r="L548" s="8"/>
    </row>
    <row r="549" spans="1:12" s="9" customFormat="1" ht="12.75" x14ac:dyDescent="0.2">
      <c r="A549" s="58"/>
      <c r="B549" s="377" t="s">
        <v>18</v>
      </c>
      <c r="C549" s="414" t="s">
        <v>353</v>
      </c>
      <c r="D549" s="10" t="s">
        <v>39</v>
      </c>
      <c r="E549" s="141"/>
      <c r="F549" s="10">
        <f>F537*0.04</f>
        <v>125.44</v>
      </c>
      <c r="G549" s="223"/>
      <c r="H549" s="62"/>
      <c r="I549" s="144"/>
      <c r="J549" s="145"/>
      <c r="K549" s="146"/>
      <c r="L549" s="8"/>
    </row>
    <row r="550" spans="1:12" s="9" customFormat="1" ht="25.5" x14ac:dyDescent="0.2">
      <c r="A550" s="58"/>
      <c r="B550" s="377" t="s">
        <v>18</v>
      </c>
      <c r="C550" s="421" t="s">
        <v>354</v>
      </c>
      <c r="D550" s="10"/>
      <c r="E550" s="152"/>
      <c r="F550" s="10"/>
      <c r="G550" s="62"/>
      <c r="H550" s="62"/>
      <c r="I550" s="144"/>
      <c r="J550" s="145"/>
      <c r="K550" s="146"/>
      <c r="L550" s="8"/>
    </row>
    <row r="551" spans="1:12" s="9" customFormat="1" ht="12.75" x14ac:dyDescent="0.2">
      <c r="A551" s="58"/>
      <c r="B551" s="377">
        <v>183403113</v>
      </c>
      <c r="C551" s="414" t="s">
        <v>355</v>
      </c>
      <c r="D551" s="10" t="s">
        <v>66</v>
      </c>
      <c r="E551" s="185"/>
      <c r="F551" s="150">
        <f>F537*2</f>
        <v>6272</v>
      </c>
      <c r="G551" s="62"/>
      <c r="H551" s="62">
        <f>E551*F551</f>
        <v>0</v>
      </c>
      <c r="I551" s="144"/>
      <c r="J551" s="145"/>
      <c r="K551" s="146"/>
      <c r="L551" s="8"/>
    </row>
    <row r="552" spans="1:12" s="9" customFormat="1" ht="12.75" x14ac:dyDescent="0.2">
      <c r="A552" s="58"/>
      <c r="B552" s="377" t="s">
        <v>34</v>
      </c>
      <c r="C552" s="414" t="s">
        <v>356</v>
      </c>
      <c r="D552" s="10" t="s">
        <v>39</v>
      </c>
      <c r="E552" s="149"/>
      <c r="F552" s="10">
        <f>F537*0.04*1.1</f>
        <v>137.98400000000001</v>
      </c>
      <c r="G552" s="62">
        <f>E552*F552</f>
        <v>0</v>
      </c>
      <c r="H552" s="62"/>
      <c r="I552" s="144"/>
      <c r="J552" s="145"/>
      <c r="K552" s="146"/>
      <c r="L552" s="8"/>
    </row>
    <row r="553" spans="1:12" s="9" customFormat="1" ht="25.5" x14ac:dyDescent="0.2">
      <c r="A553" s="58"/>
      <c r="B553" s="377">
        <v>181351113</v>
      </c>
      <c r="C553" s="414" t="s">
        <v>260</v>
      </c>
      <c r="D553" s="10" t="s">
        <v>66</v>
      </c>
      <c r="E553" s="152"/>
      <c r="F553" s="150">
        <f>F537</f>
        <v>3136</v>
      </c>
      <c r="G553" s="62"/>
      <c r="H553" s="62">
        <f>E553*F553</f>
        <v>0</v>
      </c>
      <c r="I553" s="144"/>
      <c r="J553" s="145"/>
      <c r="K553" s="146"/>
      <c r="L553" s="8"/>
    </row>
    <row r="554" spans="1:12" s="9" customFormat="1" ht="25.5" x14ac:dyDescent="0.2">
      <c r="A554" s="58"/>
      <c r="B554" s="377">
        <v>183403114</v>
      </c>
      <c r="C554" s="414" t="s">
        <v>357</v>
      </c>
      <c r="D554" s="10" t="s">
        <v>66</v>
      </c>
      <c r="E554" s="141"/>
      <c r="F554" s="150">
        <f>F537*2</f>
        <v>6272</v>
      </c>
      <c r="G554" s="62"/>
      <c r="H554" s="62">
        <f>E554*F554</f>
        <v>0</v>
      </c>
      <c r="I554" s="144"/>
      <c r="J554" s="145"/>
      <c r="K554" s="146"/>
      <c r="L554" s="8"/>
    </row>
    <row r="555" spans="1:12" s="9" customFormat="1" ht="12.75" x14ac:dyDescent="0.2">
      <c r="A555" s="58"/>
      <c r="B555" s="377">
        <v>183403152</v>
      </c>
      <c r="C555" s="414" t="s">
        <v>358</v>
      </c>
      <c r="D555" s="10" t="s">
        <v>66</v>
      </c>
      <c r="E555" s="141"/>
      <c r="F555" s="150">
        <f>F537</f>
        <v>3136</v>
      </c>
      <c r="G555" s="62"/>
      <c r="H555" s="62">
        <f>E555*F555</f>
        <v>0</v>
      </c>
      <c r="I555" s="144"/>
      <c r="J555" s="145"/>
      <c r="K555" s="146"/>
      <c r="L555" s="8"/>
    </row>
    <row r="556" spans="1:12" s="9" customFormat="1" ht="12.75" x14ac:dyDescent="0.2">
      <c r="A556" s="58"/>
      <c r="B556" s="377">
        <v>183403161</v>
      </c>
      <c r="C556" s="414" t="s">
        <v>359</v>
      </c>
      <c r="D556" s="10" t="s">
        <v>66</v>
      </c>
      <c r="E556" s="141"/>
      <c r="F556" s="150">
        <f>F537</f>
        <v>3136</v>
      </c>
      <c r="G556" s="62"/>
      <c r="H556" s="62">
        <f>E556*F556</f>
        <v>0</v>
      </c>
      <c r="I556" s="144"/>
      <c r="J556" s="145"/>
      <c r="K556" s="146"/>
      <c r="L556" s="8"/>
    </row>
    <row r="557" spans="1:12" s="9" customFormat="1" ht="12.75" x14ac:dyDescent="0.2">
      <c r="A557" s="58"/>
      <c r="B557" s="377"/>
      <c r="C557" s="414"/>
      <c r="D557" s="10"/>
      <c r="E557" s="141"/>
      <c r="F557" s="150"/>
      <c r="G557" s="62"/>
      <c r="H557" s="62"/>
      <c r="I557" s="144"/>
      <c r="J557" s="145"/>
      <c r="K557" s="146"/>
      <c r="L557" s="214"/>
    </row>
    <row r="558" spans="1:12" s="9" customFormat="1" ht="38.25" x14ac:dyDescent="0.2">
      <c r="A558" s="58"/>
      <c r="B558" s="377">
        <v>183403111</v>
      </c>
      <c r="C558" s="414" t="s">
        <v>360</v>
      </c>
      <c r="D558" s="10" t="s">
        <v>66</v>
      </c>
      <c r="E558" s="148"/>
      <c r="F558" s="142">
        <f>F537/100*10</f>
        <v>313.60000000000002</v>
      </c>
      <c r="G558" s="62"/>
      <c r="H558" s="62">
        <f>E558*F558</f>
        <v>0</v>
      </c>
      <c r="I558" s="144"/>
      <c r="J558" s="145"/>
      <c r="K558" s="146"/>
      <c r="L558" s="214"/>
    </row>
    <row r="559" spans="1:12" s="9" customFormat="1" ht="12.75" x14ac:dyDescent="0.2">
      <c r="A559" s="58"/>
      <c r="B559" s="377">
        <v>183403153</v>
      </c>
      <c r="C559" s="414" t="s">
        <v>264</v>
      </c>
      <c r="D559" s="10" t="s">
        <v>66</v>
      </c>
      <c r="E559" s="141"/>
      <c r="F559" s="142">
        <f>F558</f>
        <v>313.60000000000002</v>
      </c>
      <c r="G559" s="62"/>
      <c r="H559" s="62">
        <f>E559*F559</f>
        <v>0</v>
      </c>
      <c r="I559" s="144"/>
      <c r="J559" s="145"/>
      <c r="K559" s="146"/>
      <c r="L559" s="8"/>
    </row>
    <row r="560" spans="1:12" s="9" customFormat="1" ht="40.5" x14ac:dyDescent="0.2">
      <c r="A560" s="58"/>
      <c r="B560" s="377"/>
      <c r="C560" s="414" t="s">
        <v>695</v>
      </c>
      <c r="D560" s="10"/>
      <c r="E560" s="141"/>
      <c r="F560" s="10"/>
      <c r="G560" s="62"/>
      <c r="H560" s="62"/>
      <c r="I560" s="144"/>
      <c r="J560" s="145"/>
      <c r="K560" s="146"/>
      <c r="L560" s="8"/>
    </row>
    <row r="561" spans="1:12" s="9" customFormat="1" ht="25.5" x14ac:dyDescent="0.2">
      <c r="A561" s="58"/>
      <c r="B561" s="377" t="s">
        <v>34</v>
      </c>
      <c r="C561" s="414" t="s">
        <v>361</v>
      </c>
      <c r="D561" s="10" t="s">
        <v>39</v>
      </c>
      <c r="E561" s="141"/>
      <c r="F561" s="10">
        <f>F537*0.03*1.1</f>
        <v>103.488</v>
      </c>
      <c r="G561" s="62">
        <f>E561*F561</f>
        <v>0</v>
      </c>
      <c r="H561" s="62"/>
      <c r="I561" s="144"/>
      <c r="J561" s="145"/>
      <c r="K561" s="146"/>
      <c r="L561" s="8"/>
    </row>
    <row r="562" spans="1:12" s="9" customFormat="1" ht="25.5" x14ac:dyDescent="0.2">
      <c r="A562" s="58"/>
      <c r="B562" s="377">
        <v>181351113</v>
      </c>
      <c r="C562" s="414" t="s">
        <v>260</v>
      </c>
      <c r="D562" s="10" t="s">
        <v>66</v>
      </c>
      <c r="E562" s="141"/>
      <c r="F562" s="150">
        <f>F537</f>
        <v>3136</v>
      </c>
      <c r="G562" s="62"/>
      <c r="H562" s="62">
        <f>E562*F562</f>
        <v>0</v>
      </c>
      <c r="I562" s="144"/>
      <c r="J562" s="145"/>
      <c r="K562" s="146"/>
      <c r="L562" s="8"/>
    </row>
    <row r="563" spans="1:12" s="9" customFormat="1" ht="25.5" x14ac:dyDescent="0.2">
      <c r="A563" s="58"/>
      <c r="B563" s="377" t="s">
        <v>34</v>
      </c>
      <c r="C563" s="414" t="s">
        <v>362</v>
      </c>
      <c r="D563" s="10" t="s">
        <v>345</v>
      </c>
      <c r="E563" s="148"/>
      <c r="F563" s="10">
        <f>F537*0.03</f>
        <v>94.08</v>
      </c>
      <c r="G563" s="62">
        <f>E563*F563</f>
        <v>0</v>
      </c>
      <c r="H563" s="62"/>
      <c r="I563" s="144">
        <v>1E-3</v>
      </c>
      <c r="J563" s="145">
        <f>I563*F563</f>
        <v>9.4079999999999997E-2</v>
      </c>
      <c r="K563" s="146"/>
      <c r="L563" s="8"/>
    </row>
    <row r="564" spans="1:12" s="9" customFormat="1" ht="12.75" x14ac:dyDescent="0.2">
      <c r="A564" s="58"/>
      <c r="B564" s="377">
        <v>185802113</v>
      </c>
      <c r="C564" s="414" t="s">
        <v>363</v>
      </c>
      <c r="D564" s="10" t="s">
        <v>16</v>
      </c>
      <c r="E564" s="148"/>
      <c r="F564" s="10">
        <f>(F563)*0.001</f>
        <v>9.4079999999999997E-2</v>
      </c>
      <c r="G564" s="62"/>
      <c r="H564" s="62">
        <f>E564*F564</f>
        <v>0</v>
      </c>
      <c r="I564" s="144"/>
      <c r="J564" s="145"/>
      <c r="K564" s="146"/>
      <c r="L564" s="8"/>
    </row>
    <row r="565" spans="1:12" s="9" customFormat="1" ht="12.75" x14ac:dyDescent="0.2">
      <c r="A565" s="58"/>
      <c r="B565" s="377">
        <v>183403152</v>
      </c>
      <c r="C565" s="414" t="s">
        <v>358</v>
      </c>
      <c r="D565" s="10" t="s">
        <v>66</v>
      </c>
      <c r="E565" s="141"/>
      <c r="F565" s="150">
        <f>F537</f>
        <v>3136</v>
      </c>
      <c r="G565" s="62"/>
      <c r="H565" s="62">
        <f>E565*F565</f>
        <v>0</v>
      </c>
      <c r="I565" s="144"/>
      <c r="J565" s="145"/>
      <c r="K565" s="146"/>
      <c r="L565" s="8"/>
    </row>
    <row r="566" spans="1:12" s="9" customFormat="1" ht="12.75" x14ac:dyDescent="0.2">
      <c r="A566" s="58"/>
      <c r="B566" s="377">
        <v>183403161</v>
      </c>
      <c r="C566" s="414" t="s">
        <v>364</v>
      </c>
      <c r="D566" s="10" t="s">
        <v>66</v>
      </c>
      <c r="E566" s="141"/>
      <c r="F566" s="150">
        <f>F537*2</f>
        <v>6272</v>
      </c>
      <c r="G566" s="62"/>
      <c r="H566" s="62">
        <f>E566*F566</f>
        <v>0</v>
      </c>
      <c r="I566" s="144"/>
      <c r="J566" s="145"/>
      <c r="K566" s="146"/>
      <c r="L566" s="8"/>
    </row>
    <row r="567" spans="1:12" s="9" customFormat="1" ht="66" x14ac:dyDescent="0.2">
      <c r="A567" s="58"/>
      <c r="B567" s="377"/>
      <c r="C567" s="414" t="s">
        <v>696</v>
      </c>
      <c r="D567" s="10"/>
      <c r="E567" s="141"/>
      <c r="F567" s="10"/>
      <c r="G567" s="62"/>
      <c r="H567" s="62"/>
      <c r="I567" s="144"/>
      <c r="J567" s="145"/>
      <c r="K567" s="146"/>
      <c r="L567" s="8"/>
    </row>
    <row r="568" spans="1:12" s="9" customFormat="1" ht="12.75" x14ac:dyDescent="0.2">
      <c r="A568" s="58"/>
      <c r="B568" s="377">
        <v>181451131</v>
      </c>
      <c r="C568" s="414" t="s">
        <v>365</v>
      </c>
      <c r="D568" s="10" t="s">
        <v>66</v>
      </c>
      <c r="E568" s="141"/>
      <c r="F568" s="150">
        <f>F537</f>
        <v>3136</v>
      </c>
      <c r="G568" s="62"/>
      <c r="H568" s="62">
        <f>E568*F568</f>
        <v>0</v>
      </c>
      <c r="I568" s="144"/>
      <c r="J568" s="145"/>
      <c r="K568" s="146"/>
      <c r="L568" s="8"/>
    </row>
    <row r="569" spans="1:12" s="9" customFormat="1" ht="12.75" x14ac:dyDescent="0.2">
      <c r="A569" s="58"/>
      <c r="B569" s="377" t="s">
        <v>18</v>
      </c>
      <c r="C569" s="414" t="s">
        <v>366</v>
      </c>
      <c r="D569" s="10" t="s">
        <v>345</v>
      </c>
      <c r="E569" s="141"/>
      <c r="F569" s="10">
        <f>F537*0.03</f>
        <v>94.08</v>
      </c>
      <c r="G569" s="62"/>
      <c r="H569" s="62"/>
      <c r="I569" s="144"/>
      <c r="J569" s="145"/>
      <c r="K569" s="146"/>
      <c r="L569" s="8"/>
    </row>
    <row r="570" spans="1:12" s="9" customFormat="1" ht="12.75" x14ac:dyDescent="0.2">
      <c r="A570" s="58"/>
      <c r="B570" s="377">
        <v>183403161</v>
      </c>
      <c r="C570" s="414" t="s">
        <v>364</v>
      </c>
      <c r="D570" s="10" t="s">
        <v>66</v>
      </c>
      <c r="E570" s="141"/>
      <c r="F570" s="150">
        <f>F537*2</f>
        <v>6272</v>
      </c>
      <c r="G570" s="62"/>
      <c r="H570" s="62">
        <f>E570*F570</f>
        <v>0</v>
      </c>
      <c r="I570" s="144"/>
      <c r="J570" s="145"/>
      <c r="K570" s="146"/>
      <c r="L570" s="8"/>
    </row>
    <row r="571" spans="1:12" s="9" customFormat="1" ht="12.75" x14ac:dyDescent="0.2">
      <c r="A571" s="58"/>
      <c r="B571" s="377"/>
      <c r="C571" s="414" t="s">
        <v>367</v>
      </c>
      <c r="D571" s="10"/>
      <c r="E571" s="141"/>
      <c r="F571" s="10"/>
      <c r="G571" s="62"/>
      <c r="H571" s="62"/>
      <c r="I571" s="144"/>
      <c r="J571" s="145"/>
      <c r="K571" s="146"/>
      <c r="L571" s="8"/>
    </row>
    <row r="572" spans="1:12" s="9" customFormat="1" ht="12.75" x14ac:dyDescent="0.2">
      <c r="A572" s="58"/>
      <c r="B572" s="377">
        <v>185804312</v>
      </c>
      <c r="C572" s="414" t="s">
        <v>288</v>
      </c>
      <c r="D572" s="10" t="s">
        <v>39</v>
      </c>
      <c r="E572" s="148"/>
      <c r="F572" s="10">
        <f>F537*0.01</f>
        <v>31.36</v>
      </c>
      <c r="G572" s="62"/>
      <c r="H572" s="62">
        <f>E572*F572</f>
        <v>0</v>
      </c>
      <c r="I572" s="144"/>
      <c r="J572" s="145"/>
      <c r="K572" s="146"/>
      <c r="L572" s="8"/>
    </row>
    <row r="573" spans="1:12" s="9" customFormat="1" ht="38.25" x14ac:dyDescent="0.2">
      <c r="A573" s="58"/>
      <c r="B573" s="377"/>
      <c r="C573" s="414" t="s">
        <v>368</v>
      </c>
      <c r="D573" s="10"/>
      <c r="E573" s="141"/>
      <c r="F573" s="10"/>
      <c r="G573" s="62"/>
      <c r="H573" s="62"/>
      <c r="I573" s="144"/>
      <c r="J573" s="145"/>
      <c r="K573" s="146"/>
      <c r="L573" s="8"/>
    </row>
    <row r="574" spans="1:12" s="9" customFormat="1" ht="76.5" x14ac:dyDescent="0.2">
      <c r="A574" s="58"/>
      <c r="B574" s="377"/>
      <c r="C574" s="414" t="s">
        <v>369</v>
      </c>
      <c r="D574" s="10"/>
      <c r="E574" s="141"/>
      <c r="F574" s="10"/>
      <c r="G574" s="62"/>
      <c r="H574" s="62"/>
      <c r="I574" s="144"/>
      <c r="J574" s="145"/>
      <c r="K574" s="146"/>
      <c r="L574" s="8"/>
    </row>
    <row r="575" spans="1:12" s="9" customFormat="1" ht="12.75" x14ac:dyDescent="0.2">
      <c r="A575" s="58"/>
      <c r="B575" s="377">
        <v>185803111</v>
      </c>
      <c r="C575" s="414" t="s">
        <v>370</v>
      </c>
      <c r="D575" s="10" t="s">
        <v>66</v>
      </c>
      <c r="E575" s="141"/>
      <c r="F575" s="150">
        <f>F537</f>
        <v>3136</v>
      </c>
      <c r="G575" s="62"/>
      <c r="H575" s="62">
        <f>E575*F575</f>
        <v>0</v>
      </c>
      <c r="I575" s="144"/>
      <c r="J575" s="145"/>
      <c r="K575" s="146"/>
      <c r="L575" s="8"/>
    </row>
    <row r="576" spans="1:12" s="9" customFormat="1" ht="12.75" x14ac:dyDescent="0.2">
      <c r="A576" s="58"/>
      <c r="B576" s="377" t="s">
        <v>90</v>
      </c>
      <c r="C576" s="414" t="s">
        <v>290</v>
      </c>
      <c r="D576" s="10" t="s">
        <v>39</v>
      </c>
      <c r="E576" s="148"/>
      <c r="F576" s="10">
        <f>F537*0.002</f>
        <v>6.2720000000000002</v>
      </c>
      <c r="G576" s="62">
        <f>E576*F576</f>
        <v>0</v>
      </c>
      <c r="H576" s="62"/>
      <c r="I576" s="144"/>
      <c r="J576" s="145"/>
      <c r="K576" s="146"/>
      <c r="L576" s="8"/>
    </row>
    <row r="577" spans="1:14" s="9" customFormat="1" ht="12.75" x14ac:dyDescent="0.2">
      <c r="A577" s="58"/>
      <c r="B577" s="380">
        <v>998231411</v>
      </c>
      <c r="C577" s="410" t="s">
        <v>94</v>
      </c>
      <c r="D577" s="13" t="s">
        <v>16</v>
      </c>
      <c r="E577" s="183"/>
      <c r="F577" s="13">
        <f>J577</f>
        <v>0.18815999999999999</v>
      </c>
      <c r="G577" s="120"/>
      <c r="H577" s="120">
        <f>E577*F577</f>
        <v>0</v>
      </c>
      <c r="I577" s="155" t="s">
        <v>6</v>
      </c>
      <c r="J577" s="121">
        <f>SUM(J539:J572)</f>
        <v>0.18815999999999999</v>
      </c>
      <c r="K577" s="224"/>
      <c r="L577" s="8"/>
    </row>
    <row r="578" spans="1:14" x14ac:dyDescent="0.2">
      <c r="A578" s="58"/>
      <c r="B578" s="382"/>
      <c r="C578" s="422"/>
      <c r="D578" s="112"/>
      <c r="E578" s="162"/>
      <c r="F578" s="112"/>
      <c r="G578" s="179"/>
      <c r="H578" s="179"/>
      <c r="I578" s="179"/>
      <c r="J578" s="179"/>
      <c r="K578" s="65"/>
      <c r="L578" s="8"/>
      <c r="N578" s="9"/>
    </row>
    <row r="579" spans="1:14" s="28" customFormat="1" ht="25.5" x14ac:dyDescent="0.2">
      <c r="A579" s="22"/>
      <c r="B579" s="375" t="s">
        <v>18</v>
      </c>
      <c r="C579" s="412" t="s">
        <v>19</v>
      </c>
      <c r="D579" s="23"/>
      <c r="E579" s="23" t="s">
        <v>20</v>
      </c>
      <c r="F579" s="24" t="s">
        <v>21</v>
      </c>
      <c r="G579" s="25" t="s">
        <v>323</v>
      </c>
      <c r="H579" s="25" t="s">
        <v>23</v>
      </c>
      <c r="I579" s="26" t="s">
        <v>24</v>
      </c>
      <c r="J579" s="26" t="s">
        <v>25</v>
      </c>
      <c r="K579" s="25" t="s">
        <v>26</v>
      </c>
      <c r="L579" s="27"/>
      <c r="N579" s="9"/>
    </row>
    <row r="580" spans="1:14" x14ac:dyDescent="0.2">
      <c r="A580" s="58"/>
      <c r="B580" s="376" t="s">
        <v>371</v>
      </c>
      <c r="C580" s="413" t="s">
        <v>372</v>
      </c>
      <c r="D580" s="30"/>
      <c r="E580" s="197"/>
      <c r="F580" s="184"/>
      <c r="G580" s="140"/>
      <c r="H580" s="140"/>
      <c r="I580" s="140"/>
      <c r="J580" s="140"/>
      <c r="K580" s="34"/>
      <c r="L580" s="8"/>
      <c r="N580" s="9"/>
    </row>
    <row r="581" spans="1:14" ht="15" x14ac:dyDescent="0.2">
      <c r="A581" s="58"/>
      <c r="B581" s="376" t="s">
        <v>373</v>
      </c>
      <c r="C581" s="413" t="s">
        <v>374</v>
      </c>
      <c r="D581" s="30" t="s">
        <v>244</v>
      </c>
      <c r="E581" s="139">
        <f>I581/F581</f>
        <v>0</v>
      </c>
      <c r="F581" s="184">
        <v>4889</v>
      </c>
      <c r="G581" s="140">
        <f>SUM(G582:G621)</f>
        <v>0</v>
      </c>
      <c r="H581" s="140">
        <f>SUM(H582:H621)</f>
        <v>0</v>
      </c>
      <c r="I581" s="140">
        <f>H581+G581</f>
        <v>0</v>
      </c>
      <c r="J581" s="140">
        <f>I581/100*21</f>
        <v>0</v>
      </c>
      <c r="K581" s="34">
        <f>J581+I581</f>
        <v>0</v>
      </c>
      <c r="L581" s="8"/>
      <c r="N581" s="9"/>
    </row>
    <row r="582" spans="1:14" ht="25.5" x14ac:dyDescent="0.2">
      <c r="A582" s="58"/>
      <c r="B582" s="382"/>
      <c r="C582" s="422" t="s">
        <v>375</v>
      </c>
      <c r="D582" s="161"/>
      <c r="E582" s="221"/>
      <c r="F582" s="161"/>
      <c r="G582" s="61"/>
      <c r="H582" s="61"/>
      <c r="I582" s="61"/>
      <c r="J582" s="61"/>
      <c r="K582" s="65"/>
      <c r="L582" s="8"/>
      <c r="N582" s="9"/>
    </row>
    <row r="583" spans="1:14" ht="153" x14ac:dyDescent="0.2">
      <c r="A583" s="58"/>
      <c r="B583" s="382"/>
      <c r="C583" s="422" t="s">
        <v>697</v>
      </c>
      <c r="D583" s="112" t="s">
        <v>345</v>
      </c>
      <c r="E583" s="160"/>
      <c r="F583" s="112">
        <f>F581*0.015</f>
        <v>73.334999999999994</v>
      </c>
      <c r="G583" s="61">
        <f>E583*F583</f>
        <v>0</v>
      </c>
      <c r="H583" s="61"/>
      <c r="I583" s="63">
        <v>1E-3</v>
      </c>
      <c r="J583" s="64">
        <f>I583*F583</f>
        <v>7.3334999999999997E-2</v>
      </c>
      <c r="K583" s="65"/>
      <c r="L583" s="8"/>
      <c r="N583" s="9"/>
    </row>
    <row r="584" spans="1:14" ht="229.5" x14ac:dyDescent="0.2">
      <c r="A584" s="58"/>
      <c r="B584" s="382"/>
      <c r="C584" s="422" t="s">
        <v>698</v>
      </c>
      <c r="D584" s="112"/>
      <c r="E584" s="178"/>
      <c r="F584" s="112"/>
      <c r="G584" s="61"/>
      <c r="H584" s="61"/>
      <c r="I584" s="63"/>
      <c r="J584" s="64"/>
      <c r="K584" s="65"/>
      <c r="L584" s="8"/>
      <c r="N584" s="9"/>
    </row>
    <row r="585" spans="1:14" x14ac:dyDescent="0.2">
      <c r="A585" s="58"/>
      <c r="B585" s="382"/>
      <c r="C585" s="422" t="s">
        <v>346</v>
      </c>
      <c r="D585" s="112"/>
      <c r="E585" s="178"/>
      <c r="F585" s="112"/>
      <c r="G585" s="61"/>
      <c r="H585" s="61"/>
      <c r="I585" s="63"/>
      <c r="J585" s="64"/>
      <c r="K585" s="65"/>
      <c r="L585" s="8"/>
      <c r="N585" s="9"/>
    </row>
    <row r="586" spans="1:14" s="9" customFormat="1" ht="51" x14ac:dyDescent="0.2">
      <c r="A586" s="58"/>
      <c r="B586" s="377"/>
      <c r="C586" s="414" t="s">
        <v>376</v>
      </c>
      <c r="D586" s="10"/>
      <c r="E586" s="141"/>
      <c r="F586" s="10"/>
      <c r="G586" s="62"/>
      <c r="H586" s="62"/>
      <c r="I586" s="144"/>
      <c r="J586" s="145"/>
      <c r="K586" s="146"/>
      <c r="L586" s="8"/>
    </row>
    <row r="587" spans="1:14" s="9" customFormat="1" ht="25.5" x14ac:dyDescent="0.2">
      <c r="A587" s="58"/>
      <c r="B587" s="377">
        <v>184802111</v>
      </c>
      <c r="C587" s="414" t="s">
        <v>348</v>
      </c>
      <c r="D587" s="10" t="s">
        <v>66</v>
      </c>
      <c r="E587" s="141"/>
      <c r="F587" s="10">
        <f>F581*0.1</f>
        <v>488.90000000000003</v>
      </c>
      <c r="G587" s="62"/>
      <c r="H587" s="62">
        <f>E587*F587</f>
        <v>0</v>
      </c>
      <c r="I587" s="144"/>
      <c r="J587" s="145"/>
      <c r="K587" s="146"/>
      <c r="L587" s="8"/>
    </row>
    <row r="588" spans="1:14" s="9" customFormat="1" ht="12.75" x14ac:dyDescent="0.2">
      <c r="A588" s="58"/>
      <c r="B588" s="377" t="s">
        <v>34</v>
      </c>
      <c r="C588" s="414" t="s">
        <v>349</v>
      </c>
      <c r="D588" s="10" t="s">
        <v>36</v>
      </c>
      <c r="E588" s="148"/>
      <c r="F588" s="10">
        <f>0.1/100*F587</f>
        <v>0.48890000000000006</v>
      </c>
      <c r="G588" s="62">
        <f>E588*F588</f>
        <v>0</v>
      </c>
      <c r="H588" s="62"/>
      <c r="I588" s="144"/>
      <c r="J588" s="145"/>
      <c r="K588" s="146"/>
      <c r="L588" s="8"/>
    </row>
    <row r="589" spans="1:14" s="9" customFormat="1" ht="12.75" x14ac:dyDescent="0.2">
      <c r="A589" s="58"/>
      <c r="B589" s="377" t="s">
        <v>32</v>
      </c>
      <c r="C589" s="414" t="s">
        <v>221</v>
      </c>
      <c r="D589" s="10" t="s">
        <v>66</v>
      </c>
      <c r="E589" s="141"/>
      <c r="F589" s="150">
        <f>F581</f>
        <v>4889</v>
      </c>
      <c r="G589" s="62"/>
      <c r="H589" s="62">
        <f>E589*F589</f>
        <v>0</v>
      </c>
      <c r="I589" s="144"/>
      <c r="J589" s="145"/>
      <c r="K589" s="146"/>
      <c r="L589" s="8"/>
    </row>
    <row r="590" spans="1:14" s="9" customFormat="1" ht="12.75" x14ac:dyDescent="0.2">
      <c r="A590" s="58"/>
      <c r="B590" s="377" t="s">
        <v>18</v>
      </c>
      <c r="C590" s="421" t="s">
        <v>255</v>
      </c>
      <c r="D590" s="10"/>
      <c r="E590" s="152"/>
      <c r="F590" s="150"/>
      <c r="G590" s="62"/>
      <c r="H590" s="62"/>
      <c r="I590" s="144"/>
      <c r="J590" s="145"/>
      <c r="K590" s="146"/>
      <c r="L590" s="8"/>
    </row>
    <row r="591" spans="1:14" s="9" customFormat="1" ht="25.5" x14ac:dyDescent="0.2">
      <c r="A591" s="58"/>
      <c r="B591" s="377">
        <v>111151431</v>
      </c>
      <c r="C591" s="414" t="s">
        <v>350</v>
      </c>
      <c r="D591" s="10" t="s">
        <v>66</v>
      </c>
      <c r="E591" s="141"/>
      <c r="F591" s="150">
        <f>F581</f>
        <v>4889</v>
      </c>
      <c r="G591" s="223"/>
      <c r="H591" s="62">
        <f>E591*F591</f>
        <v>0</v>
      </c>
      <c r="I591" s="144"/>
      <c r="J591" s="145"/>
      <c r="K591" s="146"/>
      <c r="L591" s="8"/>
    </row>
    <row r="592" spans="1:14" s="9" customFormat="1" ht="12.75" x14ac:dyDescent="0.2">
      <c r="A592" s="58"/>
      <c r="B592" s="377" t="s">
        <v>90</v>
      </c>
      <c r="C592" s="414" t="s">
        <v>351</v>
      </c>
      <c r="D592" s="10" t="s">
        <v>39</v>
      </c>
      <c r="E592" s="149"/>
      <c r="F592" s="10">
        <f>F581*0.03</f>
        <v>146.66999999999999</v>
      </c>
      <c r="G592" s="62"/>
      <c r="H592" s="62">
        <f>E592*F592</f>
        <v>0</v>
      </c>
      <c r="I592" s="144"/>
      <c r="J592" s="145"/>
      <c r="K592" s="146"/>
      <c r="L592" s="8"/>
    </row>
    <row r="593" spans="1:12" s="9" customFormat="1" ht="12.75" x14ac:dyDescent="0.2">
      <c r="A593" s="58"/>
      <c r="B593" s="377">
        <v>121151123</v>
      </c>
      <c r="C593" s="414" t="s">
        <v>352</v>
      </c>
      <c r="D593" s="10" t="s">
        <v>66</v>
      </c>
      <c r="E593" s="152"/>
      <c r="F593" s="150">
        <f>F581</f>
        <v>4889</v>
      </c>
      <c r="G593" s="62"/>
      <c r="H593" s="62">
        <f>E593*F593</f>
        <v>0</v>
      </c>
      <c r="I593" s="144"/>
      <c r="J593" s="145"/>
      <c r="K593" s="146"/>
      <c r="L593" s="8"/>
    </row>
    <row r="594" spans="1:12" s="9" customFormat="1" ht="12.75" x14ac:dyDescent="0.2">
      <c r="A594" s="58"/>
      <c r="B594" s="377" t="s">
        <v>18</v>
      </c>
      <c r="C594" s="414" t="s">
        <v>353</v>
      </c>
      <c r="D594" s="10" t="s">
        <v>39</v>
      </c>
      <c r="E594" s="141"/>
      <c r="F594" s="10">
        <f>F581*0.04</f>
        <v>195.56</v>
      </c>
      <c r="G594" s="223"/>
      <c r="H594" s="62"/>
      <c r="I594" s="144"/>
      <c r="J594" s="145"/>
      <c r="K594" s="146"/>
      <c r="L594" s="8"/>
    </row>
    <row r="595" spans="1:12" s="9" customFormat="1" ht="25.5" x14ac:dyDescent="0.2">
      <c r="A595" s="58"/>
      <c r="B595" s="377" t="s">
        <v>18</v>
      </c>
      <c r="C595" s="421" t="s">
        <v>354</v>
      </c>
      <c r="D595" s="10"/>
      <c r="E595" s="152"/>
      <c r="F595" s="10"/>
      <c r="G595" s="62"/>
      <c r="H595" s="62"/>
      <c r="I595" s="144"/>
      <c r="J595" s="145"/>
      <c r="K595" s="146"/>
      <c r="L595" s="8"/>
    </row>
    <row r="596" spans="1:12" s="9" customFormat="1" ht="12.75" x14ac:dyDescent="0.2">
      <c r="A596" s="58"/>
      <c r="B596" s="377">
        <v>183403113</v>
      </c>
      <c r="C596" s="414" t="s">
        <v>355</v>
      </c>
      <c r="D596" s="10" t="s">
        <v>66</v>
      </c>
      <c r="E596" s="185"/>
      <c r="F596" s="150">
        <f>F581*2</f>
        <v>9778</v>
      </c>
      <c r="G596" s="62"/>
      <c r="H596" s="62">
        <f>E596*F596</f>
        <v>0</v>
      </c>
      <c r="I596" s="144"/>
      <c r="J596" s="145"/>
      <c r="K596" s="146"/>
      <c r="L596" s="8"/>
    </row>
    <row r="597" spans="1:12" s="9" customFormat="1" ht="12.75" x14ac:dyDescent="0.2">
      <c r="A597" s="58"/>
      <c r="B597" s="377" t="s">
        <v>34</v>
      </c>
      <c r="C597" s="414" t="s">
        <v>356</v>
      </c>
      <c r="D597" s="10" t="s">
        <v>39</v>
      </c>
      <c r="E597" s="149"/>
      <c r="F597" s="10">
        <f>F581*0.04*1.1</f>
        <v>215.11600000000001</v>
      </c>
      <c r="G597" s="62">
        <f>E597*F597</f>
        <v>0</v>
      </c>
      <c r="H597" s="62"/>
      <c r="I597" s="144"/>
      <c r="J597" s="145"/>
      <c r="K597" s="146"/>
      <c r="L597" s="8"/>
    </row>
    <row r="598" spans="1:12" s="9" customFormat="1" ht="25.5" x14ac:dyDescent="0.2">
      <c r="A598" s="58"/>
      <c r="B598" s="377">
        <v>181351113</v>
      </c>
      <c r="C598" s="414" t="s">
        <v>260</v>
      </c>
      <c r="D598" s="10" t="s">
        <v>66</v>
      </c>
      <c r="E598" s="152"/>
      <c r="F598" s="150">
        <f>F581</f>
        <v>4889</v>
      </c>
      <c r="G598" s="62"/>
      <c r="H598" s="62">
        <f t="shared" ref="H598:H603" si="8">E598*F598</f>
        <v>0</v>
      </c>
      <c r="I598" s="144"/>
      <c r="J598" s="145"/>
      <c r="K598" s="146"/>
      <c r="L598" s="8"/>
    </row>
    <row r="599" spans="1:12" s="9" customFormat="1" ht="25.5" x14ac:dyDescent="0.2">
      <c r="A599" s="58"/>
      <c r="B599" s="377">
        <v>183403114</v>
      </c>
      <c r="C599" s="414" t="s">
        <v>357</v>
      </c>
      <c r="D599" s="10" t="s">
        <v>66</v>
      </c>
      <c r="E599" s="141"/>
      <c r="F599" s="150">
        <f>F581*2</f>
        <v>9778</v>
      </c>
      <c r="G599" s="62"/>
      <c r="H599" s="62">
        <f t="shared" si="8"/>
        <v>0</v>
      </c>
      <c r="I599" s="144"/>
      <c r="J599" s="145"/>
      <c r="K599" s="146"/>
      <c r="L599" s="8"/>
    </row>
    <row r="600" spans="1:12" s="9" customFormat="1" ht="12.75" x14ac:dyDescent="0.2">
      <c r="A600" s="58"/>
      <c r="B600" s="377">
        <v>183403152</v>
      </c>
      <c r="C600" s="414" t="s">
        <v>358</v>
      </c>
      <c r="D600" s="10" t="s">
        <v>66</v>
      </c>
      <c r="E600" s="141"/>
      <c r="F600" s="150">
        <f>F581</f>
        <v>4889</v>
      </c>
      <c r="G600" s="62"/>
      <c r="H600" s="62">
        <f t="shared" si="8"/>
        <v>0</v>
      </c>
      <c r="I600" s="144"/>
      <c r="J600" s="145"/>
      <c r="K600" s="146"/>
      <c r="L600" s="8"/>
    </row>
    <row r="601" spans="1:12" s="9" customFormat="1" ht="12.75" x14ac:dyDescent="0.2">
      <c r="A601" s="58"/>
      <c r="B601" s="377">
        <v>183403161</v>
      </c>
      <c r="C601" s="414" t="s">
        <v>359</v>
      </c>
      <c r="D601" s="10" t="s">
        <v>66</v>
      </c>
      <c r="E601" s="141"/>
      <c r="F601" s="150">
        <f>F581</f>
        <v>4889</v>
      </c>
      <c r="G601" s="62"/>
      <c r="H601" s="62">
        <f t="shared" si="8"/>
        <v>0</v>
      </c>
      <c r="I601" s="144"/>
      <c r="J601" s="145"/>
      <c r="K601" s="146"/>
      <c r="L601" s="8"/>
    </row>
    <row r="602" spans="1:12" s="9" customFormat="1" ht="38.25" x14ac:dyDescent="0.2">
      <c r="A602" s="58"/>
      <c r="B602" s="377">
        <v>183403111</v>
      </c>
      <c r="C602" s="414" t="s">
        <v>360</v>
      </c>
      <c r="D602" s="10" t="s">
        <v>66</v>
      </c>
      <c r="E602" s="148"/>
      <c r="F602" s="59">
        <f>F581/100*10</f>
        <v>488.9</v>
      </c>
      <c r="G602" s="62"/>
      <c r="H602" s="62">
        <f t="shared" si="8"/>
        <v>0</v>
      </c>
      <c r="I602" s="144"/>
      <c r="J602" s="145"/>
      <c r="K602" s="146"/>
      <c r="L602" s="8"/>
    </row>
    <row r="603" spans="1:12" s="9" customFormat="1" ht="12.75" x14ac:dyDescent="0.2">
      <c r="A603" s="58"/>
      <c r="B603" s="377">
        <v>183403153</v>
      </c>
      <c r="C603" s="414" t="s">
        <v>264</v>
      </c>
      <c r="D603" s="10" t="s">
        <v>66</v>
      </c>
      <c r="E603" s="141"/>
      <c r="F603" s="59">
        <f>F602</f>
        <v>488.9</v>
      </c>
      <c r="G603" s="62"/>
      <c r="H603" s="62">
        <f t="shared" si="8"/>
        <v>0</v>
      </c>
      <c r="I603" s="144"/>
      <c r="J603" s="145"/>
      <c r="K603" s="146"/>
      <c r="L603" s="8"/>
    </row>
    <row r="604" spans="1:12" s="9" customFormat="1" ht="40.5" x14ac:dyDescent="0.2">
      <c r="A604" s="58"/>
      <c r="B604" s="377"/>
      <c r="C604" s="414" t="s">
        <v>695</v>
      </c>
      <c r="D604" s="10"/>
      <c r="E604" s="141"/>
      <c r="F604" s="10"/>
      <c r="G604" s="62"/>
      <c r="H604" s="62"/>
      <c r="I604" s="144"/>
      <c r="J604" s="145"/>
      <c r="K604" s="146"/>
      <c r="L604" s="8"/>
    </row>
    <row r="605" spans="1:12" s="9" customFormat="1" ht="25.5" x14ac:dyDescent="0.2">
      <c r="A605" s="58"/>
      <c r="B605" s="377" t="s">
        <v>34</v>
      </c>
      <c r="C605" s="414" t="s">
        <v>361</v>
      </c>
      <c r="D605" s="10" t="s">
        <v>39</v>
      </c>
      <c r="E605" s="225"/>
      <c r="F605" s="10">
        <f>F581*0.03*1.1</f>
        <v>161.33699999999999</v>
      </c>
      <c r="G605" s="62">
        <f>E605*F605</f>
        <v>0</v>
      </c>
      <c r="H605" s="62"/>
      <c r="I605" s="144"/>
      <c r="J605" s="145"/>
      <c r="K605" s="146"/>
      <c r="L605" s="8"/>
    </row>
    <row r="606" spans="1:12" s="9" customFormat="1" ht="25.5" x14ac:dyDescent="0.2">
      <c r="A606" s="58"/>
      <c r="B606" s="377">
        <v>181351113</v>
      </c>
      <c r="C606" s="414" t="s">
        <v>260</v>
      </c>
      <c r="D606" s="10" t="s">
        <v>66</v>
      </c>
      <c r="E606" s="141"/>
      <c r="F606" s="150">
        <f>F581</f>
        <v>4889</v>
      </c>
      <c r="G606" s="62"/>
      <c r="H606" s="62">
        <f>E606*F606</f>
        <v>0</v>
      </c>
      <c r="I606" s="144"/>
      <c r="J606" s="145"/>
      <c r="K606" s="146"/>
      <c r="L606" s="8"/>
    </row>
    <row r="607" spans="1:12" s="9" customFormat="1" ht="12.75" x14ac:dyDescent="0.2">
      <c r="A607" s="58"/>
      <c r="B607" s="377">
        <v>183403152</v>
      </c>
      <c r="C607" s="414" t="s">
        <v>358</v>
      </c>
      <c r="D607" s="10" t="s">
        <v>66</v>
      </c>
      <c r="E607" s="141"/>
      <c r="F607" s="150">
        <f>F581</f>
        <v>4889</v>
      </c>
      <c r="G607" s="62"/>
      <c r="H607" s="62">
        <f>E607*F607</f>
        <v>0</v>
      </c>
      <c r="I607" s="144"/>
      <c r="J607" s="145"/>
      <c r="K607" s="146"/>
      <c r="L607" s="8"/>
    </row>
    <row r="608" spans="1:12" s="9" customFormat="1" ht="12.75" x14ac:dyDescent="0.2">
      <c r="A608" s="58"/>
      <c r="B608" s="377">
        <v>183403161</v>
      </c>
      <c r="C608" s="414" t="s">
        <v>364</v>
      </c>
      <c r="D608" s="10" t="s">
        <v>66</v>
      </c>
      <c r="E608" s="141"/>
      <c r="F608" s="150">
        <f>F581*2</f>
        <v>9778</v>
      </c>
      <c r="G608" s="62"/>
      <c r="H608" s="62">
        <f>E608*F608</f>
        <v>0</v>
      </c>
      <c r="I608" s="144"/>
      <c r="J608" s="145"/>
      <c r="K608" s="146"/>
      <c r="L608" s="8"/>
    </row>
    <row r="609" spans="1:14" s="9" customFormat="1" ht="66" x14ac:dyDescent="0.2">
      <c r="A609" s="58"/>
      <c r="B609" s="377"/>
      <c r="C609" s="414" t="s">
        <v>699</v>
      </c>
      <c r="D609" s="10"/>
      <c r="E609" s="141"/>
      <c r="F609" s="10"/>
      <c r="G609" s="62"/>
      <c r="H609" s="62"/>
      <c r="I609" s="144"/>
      <c r="J609" s="145"/>
      <c r="K609" s="146"/>
      <c r="L609" s="8"/>
    </row>
    <row r="610" spans="1:14" s="9" customFormat="1" ht="12.75" x14ac:dyDescent="0.2">
      <c r="A610" s="58"/>
      <c r="B610" s="377">
        <v>181451131</v>
      </c>
      <c r="C610" s="414" t="s">
        <v>365</v>
      </c>
      <c r="D610" s="10" t="s">
        <v>66</v>
      </c>
      <c r="E610" s="141"/>
      <c r="F610" s="10">
        <f>F581</f>
        <v>4889</v>
      </c>
      <c r="G610" s="62"/>
      <c r="H610" s="62">
        <f>E610*F610</f>
        <v>0</v>
      </c>
      <c r="I610" s="144"/>
      <c r="J610" s="145"/>
      <c r="K610" s="146"/>
      <c r="L610" s="8"/>
    </row>
    <row r="611" spans="1:14" s="9" customFormat="1" ht="12.75" x14ac:dyDescent="0.2">
      <c r="A611" s="58"/>
      <c r="B611" s="377" t="s">
        <v>18</v>
      </c>
      <c r="C611" s="414" t="s">
        <v>366</v>
      </c>
      <c r="D611" s="10" t="s">
        <v>345</v>
      </c>
      <c r="E611" s="141"/>
      <c r="F611" s="10">
        <f>F581*0.03</f>
        <v>146.66999999999999</v>
      </c>
      <c r="G611" s="62"/>
      <c r="H611" s="62"/>
      <c r="I611" s="144"/>
      <c r="J611" s="145"/>
      <c r="K611" s="146"/>
      <c r="L611" s="8"/>
    </row>
    <row r="612" spans="1:14" s="9" customFormat="1" ht="12.75" x14ac:dyDescent="0.2">
      <c r="A612" s="29"/>
      <c r="B612" s="377" t="s">
        <v>32</v>
      </c>
      <c r="C612" s="414" t="s">
        <v>377</v>
      </c>
      <c r="D612" s="18" t="s">
        <v>39</v>
      </c>
      <c r="E612" s="200"/>
      <c r="F612" s="226">
        <f>F583*5/1000</f>
        <v>0.36667499999999997</v>
      </c>
      <c r="G612" s="210"/>
      <c r="H612" s="210">
        <f>E612*F612</f>
        <v>0</v>
      </c>
      <c r="I612" s="211"/>
      <c r="J612" s="212"/>
      <c r="K612" s="146"/>
      <c r="L612" s="8"/>
    </row>
    <row r="613" spans="1:14" s="9" customFormat="1" ht="12.75" x14ac:dyDescent="0.2">
      <c r="A613" s="58"/>
      <c r="B613" s="377">
        <v>183403153</v>
      </c>
      <c r="C613" s="414" t="s">
        <v>378</v>
      </c>
      <c r="D613" s="10" t="s">
        <v>66</v>
      </c>
      <c r="E613" s="141"/>
      <c r="F613" s="150">
        <f>F581</f>
        <v>4889</v>
      </c>
      <c r="G613" s="62"/>
      <c r="H613" s="62">
        <f>E613*F613</f>
        <v>0</v>
      </c>
      <c r="I613" s="144"/>
      <c r="J613" s="145"/>
      <c r="K613" s="146"/>
      <c r="L613" s="8"/>
    </row>
    <row r="614" spans="1:14" s="9" customFormat="1" ht="12.75" x14ac:dyDescent="0.2">
      <c r="A614" s="58"/>
      <c r="B614" s="377">
        <v>183403161</v>
      </c>
      <c r="C614" s="414" t="s">
        <v>364</v>
      </c>
      <c r="D614" s="10" t="s">
        <v>66</v>
      </c>
      <c r="E614" s="141"/>
      <c r="F614" s="150">
        <f>F581*2</f>
        <v>9778</v>
      </c>
      <c r="G614" s="62"/>
      <c r="H614" s="62">
        <f>E614*F614</f>
        <v>0</v>
      </c>
      <c r="I614" s="144"/>
      <c r="J614" s="145"/>
      <c r="K614" s="146"/>
      <c r="L614" s="8"/>
    </row>
    <row r="615" spans="1:14" s="9" customFormat="1" ht="12.75" x14ac:dyDescent="0.2">
      <c r="A615" s="58"/>
      <c r="B615" s="377"/>
      <c r="C615" s="414" t="s">
        <v>367</v>
      </c>
      <c r="D615" s="10"/>
      <c r="E615" s="141"/>
      <c r="F615" s="10"/>
      <c r="G615" s="62"/>
      <c r="H615" s="62"/>
      <c r="I615" s="144"/>
      <c r="J615" s="145"/>
      <c r="K615" s="146"/>
      <c r="L615" s="8"/>
    </row>
    <row r="616" spans="1:14" s="9" customFormat="1" ht="12.75" x14ac:dyDescent="0.2">
      <c r="A616" s="58"/>
      <c r="B616" s="377">
        <v>185804312</v>
      </c>
      <c r="C616" s="414" t="s">
        <v>288</v>
      </c>
      <c r="D616" s="10" t="s">
        <v>39</v>
      </c>
      <c r="E616" s="148"/>
      <c r="F616" s="150">
        <f>F581*0.01</f>
        <v>48.89</v>
      </c>
      <c r="G616" s="62"/>
      <c r="H616" s="62">
        <f>E616*F616</f>
        <v>0</v>
      </c>
      <c r="I616" s="144"/>
      <c r="J616" s="145"/>
      <c r="K616" s="146"/>
      <c r="L616" s="8"/>
    </row>
    <row r="617" spans="1:14" s="9" customFormat="1" ht="25.5" x14ac:dyDescent="0.2">
      <c r="A617" s="58"/>
      <c r="B617" s="377"/>
      <c r="C617" s="414" t="s">
        <v>379</v>
      </c>
      <c r="D617" s="10"/>
      <c r="E617" s="141"/>
      <c r="F617" s="10"/>
      <c r="G617" s="62"/>
      <c r="H617" s="62"/>
      <c r="I617" s="144"/>
      <c r="J617" s="145"/>
      <c r="K617" s="146"/>
      <c r="L617" s="8"/>
    </row>
    <row r="618" spans="1:14" s="9" customFormat="1" ht="76.5" x14ac:dyDescent="0.2">
      <c r="A618" s="58"/>
      <c r="B618" s="377"/>
      <c r="C618" s="414" t="s">
        <v>369</v>
      </c>
      <c r="D618" s="10"/>
      <c r="E618" s="141"/>
      <c r="F618" s="10"/>
      <c r="G618" s="62"/>
      <c r="H618" s="62"/>
      <c r="I618" s="144"/>
      <c r="J618" s="145"/>
      <c r="K618" s="146"/>
      <c r="L618" s="8"/>
    </row>
    <row r="619" spans="1:14" s="9" customFormat="1" ht="12.75" x14ac:dyDescent="0.2">
      <c r="A619" s="58"/>
      <c r="B619" s="377">
        <v>185803111</v>
      </c>
      <c r="C619" s="414" t="s">
        <v>370</v>
      </c>
      <c r="D619" s="10" t="s">
        <v>66</v>
      </c>
      <c r="E619" s="141"/>
      <c r="F619" s="150">
        <f>F581</f>
        <v>4889</v>
      </c>
      <c r="G619" s="62"/>
      <c r="H619" s="62">
        <f>E619*F619</f>
        <v>0</v>
      </c>
      <c r="I619" s="144"/>
      <c r="J619" s="145"/>
      <c r="K619" s="146"/>
      <c r="L619" s="8"/>
    </row>
    <row r="620" spans="1:14" s="9" customFormat="1" ht="12.75" x14ac:dyDescent="0.2">
      <c r="A620" s="58"/>
      <c r="B620" s="377" t="s">
        <v>90</v>
      </c>
      <c r="C620" s="414" t="s">
        <v>290</v>
      </c>
      <c r="D620" s="10" t="s">
        <v>39</v>
      </c>
      <c r="E620" s="148"/>
      <c r="F620" s="10">
        <f>F581*0.002</f>
        <v>9.7780000000000005</v>
      </c>
      <c r="G620" s="62">
        <f>E620*F620</f>
        <v>0</v>
      </c>
      <c r="H620" s="62"/>
      <c r="I620" s="144"/>
      <c r="J620" s="145"/>
      <c r="K620" s="146"/>
      <c r="L620" s="8"/>
    </row>
    <row r="621" spans="1:14" s="9" customFormat="1" ht="12.75" x14ac:dyDescent="0.2">
      <c r="A621" s="58"/>
      <c r="B621" s="380">
        <v>998231411</v>
      </c>
      <c r="C621" s="410" t="s">
        <v>94</v>
      </c>
      <c r="D621" s="13" t="s">
        <v>16</v>
      </c>
      <c r="E621" s="183"/>
      <c r="F621" s="13">
        <f>J621</f>
        <v>7.3334999999999997E-2</v>
      </c>
      <c r="G621" s="120"/>
      <c r="H621" s="120">
        <f>E621*F621</f>
        <v>0</v>
      </c>
      <c r="I621" s="155" t="s">
        <v>6</v>
      </c>
      <c r="J621" s="121">
        <f>SUM(J583:J616)</f>
        <v>7.3334999999999997E-2</v>
      </c>
      <c r="K621" s="224"/>
      <c r="L621" s="8"/>
    </row>
    <row r="622" spans="1:14" s="9" customFormat="1" ht="12.75" x14ac:dyDescent="0.2">
      <c r="A622" s="58"/>
      <c r="B622" s="382"/>
      <c r="C622" s="422"/>
      <c r="D622" s="112"/>
      <c r="E622" s="227"/>
      <c r="F622" s="112"/>
      <c r="G622" s="228"/>
      <c r="H622" s="228"/>
      <c r="I622" s="228"/>
      <c r="J622" s="228"/>
      <c r="K622" s="65"/>
      <c r="L622" s="27"/>
    </row>
    <row r="623" spans="1:14" s="28" customFormat="1" ht="25.5" x14ac:dyDescent="0.2">
      <c r="A623" s="22"/>
      <c r="B623" s="375" t="s">
        <v>18</v>
      </c>
      <c r="C623" s="412" t="s">
        <v>19</v>
      </c>
      <c r="D623" s="23"/>
      <c r="E623" s="23" t="s">
        <v>20</v>
      </c>
      <c r="F623" s="24" t="s">
        <v>21</v>
      </c>
      <c r="G623" s="25" t="s">
        <v>323</v>
      </c>
      <c r="H623" s="25" t="s">
        <v>23</v>
      </c>
      <c r="I623" s="26" t="s">
        <v>24</v>
      </c>
      <c r="J623" s="26" t="s">
        <v>25</v>
      </c>
      <c r="K623" s="25" t="s">
        <v>26</v>
      </c>
      <c r="L623" s="27"/>
      <c r="N623" s="9"/>
    </row>
    <row r="624" spans="1:14" s="9" customFormat="1" ht="12.75" x14ac:dyDescent="0.2">
      <c r="A624" s="58"/>
      <c r="B624" s="376" t="s">
        <v>371</v>
      </c>
      <c r="C624" s="413" t="s">
        <v>372</v>
      </c>
      <c r="D624" s="30"/>
      <c r="E624" s="197"/>
      <c r="F624" s="184"/>
      <c r="G624" s="140"/>
      <c r="H624" s="140"/>
      <c r="I624" s="140"/>
      <c r="J624" s="140"/>
      <c r="K624" s="34"/>
      <c r="L624" s="27"/>
    </row>
    <row r="625" spans="1:12" s="9" customFormat="1" ht="25.5" x14ac:dyDescent="0.2">
      <c r="A625" s="58"/>
      <c r="B625" s="376" t="s">
        <v>380</v>
      </c>
      <c r="C625" s="413" t="s">
        <v>381</v>
      </c>
      <c r="D625" s="30" t="s">
        <v>244</v>
      </c>
      <c r="E625" s="139">
        <f>I625/F625</f>
        <v>0</v>
      </c>
      <c r="F625" s="216">
        <v>112.5</v>
      </c>
      <c r="G625" s="140">
        <f>SUM(G626:G647)</f>
        <v>0</v>
      </c>
      <c r="H625" s="140">
        <f>SUM(H626:H647)</f>
        <v>0</v>
      </c>
      <c r="I625" s="140">
        <f>H625+G625</f>
        <v>0</v>
      </c>
      <c r="J625" s="140">
        <f>I625/100*21</f>
        <v>0</v>
      </c>
      <c r="K625" s="34">
        <f>J625+I625</f>
        <v>0</v>
      </c>
      <c r="L625" s="27"/>
    </row>
    <row r="626" spans="1:12" s="9" customFormat="1" ht="25.5" x14ac:dyDescent="0.2">
      <c r="A626" s="58"/>
      <c r="B626" s="382"/>
      <c r="C626" s="414" t="s">
        <v>382</v>
      </c>
      <c r="D626" s="161"/>
      <c r="E626" s="221"/>
      <c r="F626" s="161"/>
      <c r="G626" s="61"/>
      <c r="H626" s="61"/>
      <c r="I626" s="61"/>
      <c r="J626" s="61"/>
      <c r="K626" s="65"/>
      <c r="L626" s="27"/>
    </row>
    <row r="627" spans="1:12" s="9" customFormat="1" ht="76.5" x14ac:dyDescent="0.2">
      <c r="A627" s="58"/>
      <c r="B627" s="377"/>
      <c r="C627" s="414" t="s">
        <v>700</v>
      </c>
      <c r="D627" s="10" t="s">
        <v>345</v>
      </c>
      <c r="E627" s="148"/>
      <c r="F627" s="222">
        <f>F625*0.015</f>
        <v>1.6875</v>
      </c>
      <c r="G627" s="62">
        <f>E627*F627</f>
        <v>0</v>
      </c>
      <c r="H627" s="62"/>
      <c r="I627" s="144">
        <v>1E-3</v>
      </c>
      <c r="J627" s="145">
        <f>I627*F627</f>
        <v>1.6875E-3</v>
      </c>
      <c r="K627" s="146"/>
      <c r="L627" s="8"/>
    </row>
    <row r="628" spans="1:12" s="9" customFormat="1" ht="114.75" x14ac:dyDescent="0.2">
      <c r="A628" s="58"/>
      <c r="B628" s="377"/>
      <c r="C628" s="414" t="s">
        <v>701</v>
      </c>
      <c r="D628" s="10"/>
      <c r="E628" s="141"/>
      <c r="F628" s="222"/>
      <c r="G628" s="62"/>
      <c r="H628" s="62"/>
      <c r="I628" s="144"/>
      <c r="J628" s="145"/>
      <c r="K628" s="146"/>
      <c r="L628" s="214"/>
    </row>
    <row r="629" spans="1:12" s="9" customFormat="1" ht="38.25" x14ac:dyDescent="0.2">
      <c r="A629" s="58"/>
      <c r="B629" s="377"/>
      <c r="C629" s="414" t="s">
        <v>383</v>
      </c>
      <c r="D629" s="10"/>
      <c r="E629" s="141"/>
      <c r="F629" s="10"/>
      <c r="G629" s="62"/>
      <c r="H629" s="62"/>
      <c r="I629" s="144"/>
      <c r="J629" s="145"/>
      <c r="K629" s="146"/>
      <c r="L629" s="214"/>
    </row>
    <row r="630" spans="1:12" s="9" customFormat="1" ht="51" x14ac:dyDescent="0.2">
      <c r="A630" s="58"/>
      <c r="B630" s="377"/>
      <c r="C630" s="414" t="s">
        <v>376</v>
      </c>
      <c r="D630" s="10"/>
      <c r="E630" s="141"/>
      <c r="F630" s="10"/>
      <c r="G630" s="62"/>
      <c r="H630" s="62"/>
      <c r="I630" s="144"/>
      <c r="J630" s="145"/>
      <c r="K630" s="146"/>
      <c r="L630" s="214"/>
    </row>
    <row r="631" spans="1:12" s="9" customFormat="1" ht="40.5" x14ac:dyDescent="0.2">
      <c r="A631" s="58"/>
      <c r="B631" s="377"/>
      <c r="C631" s="414" t="s">
        <v>695</v>
      </c>
      <c r="D631" s="10"/>
      <c r="E631" s="141"/>
      <c r="F631" s="10"/>
      <c r="G631" s="62"/>
      <c r="H631" s="62"/>
      <c r="I631" s="144"/>
      <c r="J631" s="145"/>
      <c r="K631" s="146"/>
      <c r="L631" s="8"/>
    </row>
    <row r="632" spans="1:12" s="9" customFormat="1" ht="25.5" x14ac:dyDescent="0.2">
      <c r="A632" s="58"/>
      <c r="B632" s="377" t="s">
        <v>34</v>
      </c>
      <c r="C632" s="414" t="s">
        <v>384</v>
      </c>
      <c r="D632" s="10" t="s">
        <v>39</v>
      </c>
      <c r="E632" s="141"/>
      <c r="F632" s="10">
        <f>F625*0.04*1.1</f>
        <v>4.95</v>
      </c>
      <c r="G632" s="62">
        <f>E632*F632</f>
        <v>0</v>
      </c>
      <c r="H632" s="62"/>
      <c r="I632" s="144"/>
      <c r="J632" s="145"/>
      <c r="K632" s="146"/>
      <c r="L632" s="8"/>
    </row>
    <row r="633" spans="1:12" s="9" customFormat="1" ht="25.5" x14ac:dyDescent="0.2">
      <c r="A633" s="58"/>
      <c r="B633" s="377">
        <v>181351103</v>
      </c>
      <c r="C633" s="414" t="s">
        <v>385</v>
      </c>
      <c r="D633" s="10" t="s">
        <v>66</v>
      </c>
      <c r="E633" s="148"/>
      <c r="F633" s="150">
        <f>F625</f>
        <v>112.5</v>
      </c>
      <c r="G633" s="62"/>
      <c r="H633" s="62">
        <f>E633*F633</f>
        <v>0</v>
      </c>
      <c r="I633" s="144"/>
      <c r="J633" s="145"/>
      <c r="K633" s="146"/>
      <c r="L633" s="214"/>
    </row>
    <row r="634" spans="1:12" s="9" customFormat="1" ht="12.75" x14ac:dyDescent="0.2">
      <c r="A634" s="58"/>
      <c r="B634" s="377">
        <v>183403152</v>
      </c>
      <c r="C634" s="414" t="s">
        <v>358</v>
      </c>
      <c r="D634" s="10" t="s">
        <v>66</v>
      </c>
      <c r="E634" s="141"/>
      <c r="F634" s="150">
        <f>F625</f>
        <v>112.5</v>
      </c>
      <c r="G634" s="62"/>
      <c r="H634" s="62">
        <f>E634*F634</f>
        <v>0</v>
      </c>
      <c r="I634" s="144"/>
      <c r="J634" s="145"/>
      <c r="K634" s="146"/>
      <c r="L634" s="214"/>
    </row>
    <row r="635" spans="1:12" s="9" customFormat="1" ht="12.75" x14ac:dyDescent="0.2">
      <c r="A635" s="58"/>
      <c r="B635" s="377">
        <v>183403161</v>
      </c>
      <c r="C635" s="414" t="s">
        <v>364</v>
      </c>
      <c r="D635" s="10" t="s">
        <v>66</v>
      </c>
      <c r="E635" s="141"/>
      <c r="F635" s="150">
        <f>F625*2</f>
        <v>225</v>
      </c>
      <c r="G635" s="62"/>
      <c r="H635" s="62">
        <f>E635*F635</f>
        <v>0</v>
      </c>
      <c r="I635" s="144"/>
      <c r="J635" s="145"/>
      <c r="K635" s="146"/>
      <c r="L635" s="214"/>
    </row>
    <row r="636" spans="1:12" s="9" customFormat="1" ht="66" x14ac:dyDescent="0.2">
      <c r="A636" s="58"/>
      <c r="B636" s="377"/>
      <c r="C636" s="414" t="s">
        <v>699</v>
      </c>
      <c r="D636" s="10"/>
      <c r="E636" s="141"/>
      <c r="F636" s="10"/>
      <c r="G636" s="62"/>
      <c r="H636" s="62"/>
      <c r="I636" s="144"/>
      <c r="J636" s="145"/>
      <c r="K636" s="146"/>
      <c r="L636" s="214"/>
    </row>
    <row r="637" spans="1:12" s="9" customFormat="1" ht="12.75" x14ac:dyDescent="0.2">
      <c r="A637" s="58"/>
      <c r="B637" s="377">
        <v>181411131</v>
      </c>
      <c r="C637" s="414" t="s">
        <v>386</v>
      </c>
      <c r="D637" s="10" t="s">
        <v>66</v>
      </c>
      <c r="E637" s="141"/>
      <c r="F637" s="10">
        <f>F625</f>
        <v>112.5</v>
      </c>
      <c r="G637" s="62"/>
      <c r="H637" s="62">
        <f>E637*F637</f>
        <v>0</v>
      </c>
      <c r="I637" s="144"/>
      <c r="J637" s="145"/>
      <c r="K637" s="146"/>
      <c r="L637" s="214"/>
    </row>
    <row r="638" spans="1:12" s="9" customFormat="1" ht="12.75" x14ac:dyDescent="0.2">
      <c r="A638" s="58"/>
      <c r="B638" s="377" t="s">
        <v>18</v>
      </c>
      <c r="C638" s="414" t="s">
        <v>366</v>
      </c>
      <c r="D638" s="10" t="s">
        <v>345</v>
      </c>
      <c r="E638" s="141"/>
      <c r="F638" s="10">
        <f>F625*0.03</f>
        <v>3.375</v>
      </c>
      <c r="G638" s="62"/>
      <c r="H638" s="62"/>
      <c r="I638" s="144"/>
      <c r="J638" s="145"/>
      <c r="K638" s="146"/>
      <c r="L638" s="214"/>
    </row>
    <row r="639" spans="1:12" s="9" customFormat="1" ht="12.75" x14ac:dyDescent="0.2">
      <c r="A639" s="29"/>
      <c r="B639" s="377" t="s">
        <v>32</v>
      </c>
      <c r="C639" s="414" t="s">
        <v>377</v>
      </c>
      <c r="D639" s="18" t="s">
        <v>39</v>
      </c>
      <c r="E639" s="200"/>
      <c r="F639" s="226">
        <f>F627*5/1000</f>
        <v>8.4375000000000006E-3</v>
      </c>
      <c r="G639" s="210"/>
      <c r="H639" s="210">
        <f>E639*F639</f>
        <v>0</v>
      </c>
      <c r="I639" s="211"/>
      <c r="J639" s="212"/>
      <c r="K639" s="146"/>
      <c r="L639" s="8"/>
    </row>
    <row r="640" spans="1:12" s="9" customFormat="1" ht="12.75" x14ac:dyDescent="0.2">
      <c r="A640" s="58"/>
      <c r="B640" s="377">
        <v>183403153</v>
      </c>
      <c r="C640" s="414" t="s">
        <v>378</v>
      </c>
      <c r="D640" s="10" t="s">
        <v>66</v>
      </c>
      <c r="E640" s="141"/>
      <c r="F640" s="150">
        <f>F625</f>
        <v>112.5</v>
      </c>
      <c r="G640" s="62"/>
      <c r="H640" s="62">
        <f>E640*F640</f>
        <v>0</v>
      </c>
      <c r="I640" s="144"/>
      <c r="J640" s="145"/>
      <c r="K640" s="146"/>
      <c r="L640" s="8"/>
    </row>
    <row r="641" spans="1:14" s="9" customFormat="1" ht="12.75" x14ac:dyDescent="0.2">
      <c r="A641" s="58"/>
      <c r="B641" s="377">
        <v>183403161</v>
      </c>
      <c r="C641" s="414" t="s">
        <v>364</v>
      </c>
      <c r="D641" s="10" t="s">
        <v>66</v>
      </c>
      <c r="E641" s="141"/>
      <c r="F641" s="150">
        <f>F625*2</f>
        <v>225</v>
      </c>
      <c r="G641" s="62"/>
      <c r="H641" s="62">
        <f>E641*F641</f>
        <v>0</v>
      </c>
      <c r="I641" s="144"/>
      <c r="J641" s="145"/>
      <c r="K641" s="146"/>
      <c r="L641" s="8"/>
    </row>
    <row r="642" spans="1:14" s="9" customFormat="1" ht="12.75" x14ac:dyDescent="0.2">
      <c r="A642" s="58"/>
      <c r="B642" s="377"/>
      <c r="C642" s="414" t="s">
        <v>367</v>
      </c>
      <c r="D642" s="10"/>
      <c r="E642" s="141"/>
      <c r="F642" s="10"/>
      <c r="G642" s="62"/>
      <c r="H642" s="62"/>
      <c r="I642" s="144"/>
      <c r="J642" s="145"/>
      <c r="K642" s="146"/>
      <c r="L642" s="8"/>
    </row>
    <row r="643" spans="1:14" s="9" customFormat="1" ht="12.75" x14ac:dyDescent="0.2">
      <c r="A643" s="58"/>
      <c r="B643" s="377">
        <v>185804312</v>
      </c>
      <c r="C643" s="414" t="s">
        <v>288</v>
      </c>
      <c r="D643" s="10" t="s">
        <v>39</v>
      </c>
      <c r="E643" s="141"/>
      <c r="F643" s="150">
        <f>F625*0.01</f>
        <v>1.125</v>
      </c>
      <c r="G643" s="62"/>
      <c r="H643" s="62">
        <f>E643*F643</f>
        <v>0</v>
      </c>
      <c r="I643" s="144"/>
      <c r="J643" s="145"/>
      <c r="K643" s="146"/>
      <c r="L643" s="8"/>
    </row>
    <row r="644" spans="1:14" s="9" customFormat="1" ht="25.5" x14ac:dyDescent="0.2">
      <c r="A644" s="58"/>
      <c r="B644" s="377"/>
      <c r="C644" s="414" t="s">
        <v>387</v>
      </c>
      <c r="D644" s="10"/>
      <c r="E644" s="141"/>
      <c r="F644" s="10"/>
      <c r="G644" s="62"/>
      <c r="H644" s="62"/>
      <c r="I644" s="144"/>
      <c r="J644" s="145"/>
      <c r="K644" s="146"/>
      <c r="L644" s="8"/>
    </row>
    <row r="645" spans="1:14" s="9" customFormat="1" ht="12.75" x14ac:dyDescent="0.2">
      <c r="A645" s="58"/>
      <c r="B645" s="377">
        <v>185803111</v>
      </c>
      <c r="C645" s="414" t="s">
        <v>370</v>
      </c>
      <c r="D645" s="10" t="s">
        <v>66</v>
      </c>
      <c r="E645" s="141"/>
      <c r="F645" s="150">
        <f>F625</f>
        <v>112.5</v>
      </c>
      <c r="G645" s="62"/>
      <c r="H645" s="62">
        <f>E645*F645</f>
        <v>0</v>
      </c>
      <c r="I645" s="144"/>
      <c r="J645" s="145"/>
      <c r="K645" s="146"/>
      <c r="L645" s="8"/>
    </row>
    <row r="646" spans="1:14" s="9" customFormat="1" ht="12.75" x14ac:dyDescent="0.2">
      <c r="A646" s="58"/>
      <c r="B646" s="377" t="s">
        <v>90</v>
      </c>
      <c r="C646" s="414" t="s">
        <v>290</v>
      </c>
      <c r="D646" s="10" t="s">
        <v>39</v>
      </c>
      <c r="E646" s="148"/>
      <c r="F646" s="10">
        <f>F625*0.002</f>
        <v>0.22500000000000001</v>
      </c>
      <c r="G646" s="62">
        <f>E646*F646</f>
        <v>0</v>
      </c>
      <c r="H646" s="62"/>
      <c r="I646" s="144"/>
      <c r="J646" s="145"/>
      <c r="K646" s="146"/>
      <c r="L646" s="8"/>
    </row>
    <row r="647" spans="1:14" s="9" customFormat="1" ht="12.75" x14ac:dyDescent="0.2">
      <c r="A647" s="58"/>
      <c r="B647" s="380">
        <v>998231411</v>
      </c>
      <c r="C647" s="410" t="s">
        <v>94</v>
      </c>
      <c r="D647" s="13" t="s">
        <v>16</v>
      </c>
      <c r="E647" s="183"/>
      <c r="F647" s="13">
        <f>J647</f>
        <v>1.6875E-3</v>
      </c>
      <c r="G647" s="120"/>
      <c r="H647" s="120">
        <f>E647*F647</f>
        <v>0</v>
      </c>
      <c r="I647" s="155" t="s">
        <v>6</v>
      </c>
      <c r="J647" s="121">
        <f>SUM(J627:J643)</f>
        <v>1.6875E-3</v>
      </c>
      <c r="K647" s="224"/>
      <c r="L647" s="8"/>
    </row>
    <row r="648" spans="1:14" s="9" customFormat="1" ht="12.75" x14ac:dyDescent="0.2">
      <c r="A648" s="58"/>
      <c r="B648" s="382"/>
      <c r="C648" s="422"/>
      <c r="D648" s="112"/>
      <c r="E648" s="227"/>
      <c r="F648" s="112"/>
      <c r="G648" s="228"/>
      <c r="H648" s="228"/>
      <c r="I648" s="228"/>
      <c r="J648" s="228"/>
      <c r="K648" s="65"/>
      <c r="L648" s="27"/>
    </row>
    <row r="649" spans="1:14" s="28" customFormat="1" ht="25.5" x14ac:dyDescent="0.2">
      <c r="A649" s="22"/>
      <c r="B649" s="375" t="s">
        <v>18</v>
      </c>
      <c r="C649" s="412" t="s">
        <v>19</v>
      </c>
      <c r="D649" s="23"/>
      <c r="E649" s="23" t="s">
        <v>20</v>
      </c>
      <c r="F649" s="24" t="s">
        <v>21</v>
      </c>
      <c r="G649" s="25" t="s">
        <v>323</v>
      </c>
      <c r="H649" s="25" t="s">
        <v>23</v>
      </c>
      <c r="I649" s="26" t="s">
        <v>24</v>
      </c>
      <c r="J649" s="26" t="s">
        <v>25</v>
      </c>
      <c r="K649" s="25" t="s">
        <v>26</v>
      </c>
      <c r="L649" s="27"/>
      <c r="N649" s="9"/>
    </row>
    <row r="650" spans="1:14" s="9" customFormat="1" ht="12.75" x14ac:dyDescent="0.2">
      <c r="A650" s="58"/>
      <c r="B650" s="376" t="s">
        <v>371</v>
      </c>
      <c r="C650" s="413" t="s">
        <v>372</v>
      </c>
      <c r="D650" s="30"/>
      <c r="E650" s="197"/>
      <c r="F650" s="184"/>
      <c r="G650" s="140"/>
      <c r="H650" s="140"/>
      <c r="I650" s="140"/>
      <c r="J650" s="140"/>
      <c r="K650" s="34"/>
      <c r="L650" s="214"/>
    </row>
    <row r="651" spans="1:14" s="9" customFormat="1" ht="15" x14ac:dyDescent="0.2">
      <c r="A651" s="58"/>
      <c r="B651" s="376" t="s">
        <v>388</v>
      </c>
      <c r="C651" s="413" t="s">
        <v>389</v>
      </c>
      <c r="D651" s="30" t="s">
        <v>244</v>
      </c>
      <c r="E651" s="139">
        <f>I651/F651</f>
        <v>0</v>
      </c>
      <c r="F651" s="216">
        <f>206.4/100*22</f>
        <v>45.408000000000001</v>
      </c>
      <c r="G651" s="140">
        <f>SUM(G652:G668)</f>
        <v>0</v>
      </c>
      <c r="H651" s="140">
        <f>SUM(H652:H668)</f>
        <v>0</v>
      </c>
      <c r="I651" s="140">
        <f>H651+G651</f>
        <v>0</v>
      </c>
      <c r="J651" s="140">
        <f>I651/100*21</f>
        <v>0</v>
      </c>
      <c r="K651" s="34">
        <f>J651+I651</f>
        <v>0</v>
      </c>
      <c r="L651" s="214"/>
    </row>
    <row r="652" spans="1:14" s="9" customFormat="1" ht="63.75" x14ac:dyDescent="0.2">
      <c r="A652" s="58"/>
      <c r="B652" s="377"/>
      <c r="C652" s="414" t="s">
        <v>390</v>
      </c>
      <c r="D652" s="10" t="s">
        <v>345</v>
      </c>
      <c r="E652" s="148"/>
      <c r="F652" s="154">
        <f>206*0.005</f>
        <v>1.03</v>
      </c>
      <c r="G652" s="62">
        <f>E652*F652</f>
        <v>0</v>
      </c>
      <c r="H652" s="62"/>
      <c r="I652" s="144">
        <v>1E-3</v>
      </c>
      <c r="J652" s="145">
        <f>I652*F652</f>
        <v>1.0300000000000001E-3</v>
      </c>
      <c r="K652" s="146"/>
      <c r="L652" s="8"/>
    </row>
    <row r="653" spans="1:14" s="9" customFormat="1" ht="51" x14ac:dyDescent="0.2">
      <c r="A653" s="58"/>
      <c r="B653" s="377"/>
      <c r="C653" s="414" t="s">
        <v>391</v>
      </c>
      <c r="D653" s="10"/>
      <c r="E653" s="141"/>
      <c r="F653" s="10"/>
      <c r="G653" s="62"/>
      <c r="H653" s="62"/>
      <c r="I653" s="144"/>
      <c r="J653" s="145"/>
      <c r="K653" s="146"/>
      <c r="L653" s="8"/>
    </row>
    <row r="654" spans="1:14" s="9" customFormat="1" ht="51" x14ac:dyDescent="0.2">
      <c r="A654" s="58"/>
      <c r="B654" s="377" t="s">
        <v>34</v>
      </c>
      <c r="C654" s="414" t="s">
        <v>392</v>
      </c>
      <c r="D654" s="10" t="s">
        <v>39</v>
      </c>
      <c r="E654" s="148"/>
      <c r="F654" s="222">
        <f>F651*0.095*1.1</f>
        <v>4.7451360000000005</v>
      </c>
      <c r="G654" s="62">
        <f>E654*F654</f>
        <v>0</v>
      </c>
      <c r="H654" s="62"/>
      <c r="I654" s="144"/>
      <c r="J654" s="145"/>
      <c r="K654" s="146"/>
      <c r="L654" s="8"/>
    </row>
    <row r="655" spans="1:14" s="9" customFormat="1" ht="12.75" x14ac:dyDescent="0.2">
      <c r="A655" s="58"/>
      <c r="B655" s="377">
        <v>181311103</v>
      </c>
      <c r="C655" s="414" t="s">
        <v>393</v>
      </c>
      <c r="D655" s="10" t="s">
        <v>66</v>
      </c>
      <c r="E655" s="141"/>
      <c r="F655" s="217">
        <f>F651</f>
        <v>45.408000000000001</v>
      </c>
      <c r="G655" s="62"/>
      <c r="H655" s="62">
        <f>E655*F655</f>
        <v>0</v>
      </c>
      <c r="I655" s="144"/>
      <c r="J655" s="145"/>
      <c r="K655" s="146"/>
      <c r="L655" s="8"/>
    </row>
    <row r="656" spans="1:14" s="9" customFormat="1" ht="25.5" x14ac:dyDescent="0.2">
      <c r="A656" s="58"/>
      <c r="B656" s="377" t="s">
        <v>34</v>
      </c>
      <c r="C656" s="414" t="s">
        <v>394</v>
      </c>
      <c r="D656" s="10" t="s">
        <v>345</v>
      </c>
      <c r="E656" s="141"/>
      <c r="F656" s="59">
        <f>F651*0.15</f>
        <v>6.8112000000000004</v>
      </c>
      <c r="G656" s="62">
        <f>E656*F656</f>
        <v>0</v>
      </c>
      <c r="H656" s="62"/>
      <c r="I656" s="144">
        <v>1E-3</v>
      </c>
      <c r="J656" s="145">
        <f>I656*F656</f>
        <v>6.8112000000000008E-3</v>
      </c>
      <c r="K656" s="146"/>
      <c r="L656" s="8"/>
    </row>
    <row r="657" spans="1:14" s="9" customFormat="1" ht="25.5" x14ac:dyDescent="0.2">
      <c r="A657" s="58"/>
      <c r="B657" s="377" t="s">
        <v>34</v>
      </c>
      <c r="C657" s="414" t="s">
        <v>362</v>
      </c>
      <c r="D657" s="10" t="s">
        <v>345</v>
      </c>
      <c r="E657" s="148"/>
      <c r="F657" s="59">
        <f>F651*0.03</f>
        <v>1.3622399999999999</v>
      </c>
      <c r="G657" s="62">
        <f>E657*F657</f>
        <v>0</v>
      </c>
      <c r="H657" s="62"/>
      <c r="I657" s="144">
        <v>1E-3</v>
      </c>
      <c r="J657" s="145">
        <f>I657*F657</f>
        <v>1.36224E-3</v>
      </c>
      <c r="K657" s="146"/>
      <c r="L657" s="8"/>
    </row>
    <row r="658" spans="1:14" s="9" customFormat="1" ht="12.75" x14ac:dyDescent="0.2">
      <c r="A658" s="58"/>
      <c r="B658" s="377">
        <v>185802113</v>
      </c>
      <c r="C658" s="414" t="s">
        <v>363</v>
      </c>
      <c r="D658" s="10" t="s">
        <v>16</v>
      </c>
      <c r="E658" s="148"/>
      <c r="F658" s="218">
        <f>(F657+F656)*0.001</f>
        <v>8.1734399999999988E-3</v>
      </c>
      <c r="G658" s="62"/>
      <c r="H658" s="62">
        <f>E658*F658</f>
        <v>0</v>
      </c>
      <c r="I658" s="144"/>
      <c r="J658" s="145"/>
      <c r="K658" s="146"/>
      <c r="L658" s="214"/>
    </row>
    <row r="659" spans="1:14" s="9" customFormat="1" ht="136.5" x14ac:dyDescent="0.2">
      <c r="A659" s="58"/>
      <c r="B659" s="377"/>
      <c r="C659" s="414" t="s">
        <v>702</v>
      </c>
      <c r="D659" s="10"/>
      <c r="E659" s="141"/>
      <c r="F659" s="10"/>
      <c r="G659" s="62"/>
      <c r="H659" s="62"/>
      <c r="I659" s="144"/>
      <c r="J659" s="145"/>
      <c r="K659" s="146"/>
      <c r="L659" s="214"/>
    </row>
    <row r="660" spans="1:14" s="9" customFormat="1" ht="12.75" x14ac:dyDescent="0.2">
      <c r="A660" s="58"/>
      <c r="B660" s="377">
        <v>181411131</v>
      </c>
      <c r="C660" s="414" t="s">
        <v>386</v>
      </c>
      <c r="D660" s="10" t="s">
        <v>66</v>
      </c>
      <c r="E660" s="141"/>
      <c r="F660" s="10">
        <f>F651</f>
        <v>45.408000000000001</v>
      </c>
      <c r="G660" s="62"/>
      <c r="H660" s="62">
        <f>E660*F660</f>
        <v>0</v>
      </c>
      <c r="I660" s="144"/>
      <c r="J660" s="145"/>
      <c r="K660" s="146"/>
      <c r="L660" s="214"/>
    </row>
    <row r="661" spans="1:14" s="9" customFormat="1" ht="12.75" x14ac:dyDescent="0.2">
      <c r="A661" s="58"/>
      <c r="B661" s="377" t="s">
        <v>18</v>
      </c>
      <c r="C661" s="414" t="s">
        <v>366</v>
      </c>
      <c r="D661" s="10" t="s">
        <v>345</v>
      </c>
      <c r="E661" s="141"/>
      <c r="F661" s="59">
        <f>F651*0.03</f>
        <v>1.3622399999999999</v>
      </c>
      <c r="G661" s="62"/>
      <c r="H661" s="62"/>
      <c r="I661" s="144"/>
      <c r="J661" s="145"/>
      <c r="K661" s="146"/>
      <c r="L661" s="214"/>
    </row>
    <row r="662" spans="1:14" s="9" customFormat="1" ht="12.75" x14ac:dyDescent="0.2">
      <c r="A662" s="29"/>
      <c r="B662" s="377" t="s">
        <v>32</v>
      </c>
      <c r="C662" s="414" t="s">
        <v>377</v>
      </c>
      <c r="D662" s="18" t="s">
        <v>39</v>
      </c>
      <c r="E662" s="200"/>
      <c r="F662" s="229">
        <f>F652*5/1000</f>
        <v>5.1500000000000001E-3</v>
      </c>
      <c r="G662" s="210"/>
      <c r="H662" s="210">
        <f>E662*F662</f>
        <v>0</v>
      </c>
      <c r="I662" s="211"/>
      <c r="J662" s="212"/>
      <c r="K662" s="146"/>
      <c r="L662" s="214"/>
    </row>
    <row r="663" spans="1:14" s="9" customFormat="1" ht="12.75" x14ac:dyDescent="0.2">
      <c r="A663" s="58"/>
      <c r="B663" s="377" t="s">
        <v>18</v>
      </c>
      <c r="C663" s="414" t="s">
        <v>367</v>
      </c>
      <c r="D663" s="10"/>
      <c r="E663" s="141"/>
      <c r="F663" s="10"/>
      <c r="G663" s="62"/>
      <c r="H663" s="62"/>
      <c r="I663" s="144"/>
      <c r="J663" s="145"/>
      <c r="K663" s="146"/>
      <c r="L663" s="8"/>
    </row>
    <row r="664" spans="1:14" s="9" customFormat="1" ht="12.75" x14ac:dyDescent="0.2">
      <c r="A664" s="58"/>
      <c r="B664" s="377">
        <v>185804312</v>
      </c>
      <c r="C664" s="414" t="s">
        <v>288</v>
      </c>
      <c r="D664" s="10" t="s">
        <v>39</v>
      </c>
      <c r="E664" s="148"/>
      <c r="F664" s="150">
        <f>F651*0.01</f>
        <v>0.45408000000000004</v>
      </c>
      <c r="G664" s="62"/>
      <c r="H664" s="62">
        <f>E664*F664</f>
        <v>0</v>
      </c>
      <c r="I664" s="144"/>
      <c r="J664" s="145"/>
      <c r="K664" s="146"/>
      <c r="L664" s="8"/>
    </row>
    <row r="665" spans="1:14" s="9" customFormat="1" ht="76.5" x14ac:dyDescent="0.2">
      <c r="A665" s="58"/>
      <c r="B665" s="377"/>
      <c r="C665" s="414" t="s">
        <v>395</v>
      </c>
      <c r="D665" s="10"/>
      <c r="E665" s="141"/>
      <c r="F665" s="10"/>
      <c r="G665" s="62"/>
      <c r="H665" s="62"/>
      <c r="I665" s="144"/>
      <c r="J665" s="145"/>
      <c r="K665" s="146"/>
      <c r="L665" s="8"/>
    </row>
    <row r="666" spans="1:14" s="9" customFormat="1" ht="12.75" x14ac:dyDescent="0.2">
      <c r="A666" s="58"/>
      <c r="B666" s="377">
        <v>185803111</v>
      </c>
      <c r="C666" s="414" t="s">
        <v>370</v>
      </c>
      <c r="D666" s="10" t="s">
        <v>66</v>
      </c>
      <c r="E666" s="141"/>
      <c r="F666" s="150">
        <f>F651</f>
        <v>45.408000000000001</v>
      </c>
      <c r="G666" s="62"/>
      <c r="H666" s="62">
        <f>E666*F666</f>
        <v>0</v>
      </c>
      <c r="I666" s="144"/>
      <c r="J666" s="145"/>
      <c r="K666" s="146"/>
      <c r="L666" s="8"/>
    </row>
    <row r="667" spans="1:14" s="9" customFormat="1" ht="12.75" x14ac:dyDescent="0.2">
      <c r="A667" s="58"/>
      <c r="B667" s="377" t="s">
        <v>90</v>
      </c>
      <c r="C667" s="414" t="s">
        <v>290</v>
      </c>
      <c r="D667" s="10" t="s">
        <v>39</v>
      </c>
      <c r="E667" s="148"/>
      <c r="F667" s="218">
        <f>F651*0.002</f>
        <v>9.0816000000000008E-2</v>
      </c>
      <c r="G667" s="62">
        <f>E667*F667</f>
        <v>0</v>
      </c>
      <c r="H667" s="62"/>
      <c r="I667" s="144"/>
      <c r="J667" s="145"/>
      <c r="K667" s="146"/>
      <c r="L667" s="8"/>
    </row>
    <row r="668" spans="1:14" s="9" customFormat="1" ht="12.75" x14ac:dyDescent="0.2">
      <c r="A668" s="58"/>
      <c r="B668" s="380">
        <v>998231411</v>
      </c>
      <c r="C668" s="410" t="s">
        <v>94</v>
      </c>
      <c r="D668" s="13" t="s">
        <v>16</v>
      </c>
      <c r="E668" s="183"/>
      <c r="F668" s="230">
        <f>J668</f>
        <v>9.203440000000002E-3</v>
      </c>
      <c r="G668" s="120"/>
      <c r="H668" s="120">
        <f>E668*F668</f>
        <v>0</v>
      </c>
      <c r="I668" s="155" t="s">
        <v>6</v>
      </c>
      <c r="J668" s="121">
        <f>SUM(J652:J664)</f>
        <v>9.203440000000002E-3</v>
      </c>
      <c r="K668" s="224"/>
      <c r="L668" s="8"/>
    </row>
    <row r="669" spans="1:14" s="9" customFormat="1" ht="12.75" x14ac:dyDescent="0.2">
      <c r="A669" s="58"/>
      <c r="B669" s="382"/>
      <c r="C669" s="422"/>
      <c r="D669" s="112"/>
      <c r="E669" s="227"/>
      <c r="F669" s="112"/>
      <c r="G669" s="228"/>
      <c r="H669" s="228"/>
      <c r="I669" s="228"/>
      <c r="J669" s="228"/>
      <c r="K669" s="65"/>
      <c r="L669" s="27"/>
    </row>
    <row r="670" spans="1:14" s="28" customFormat="1" ht="25.5" x14ac:dyDescent="0.2">
      <c r="A670" s="22"/>
      <c r="B670" s="375" t="s">
        <v>18</v>
      </c>
      <c r="C670" s="412" t="s">
        <v>19</v>
      </c>
      <c r="D670" s="23"/>
      <c r="E670" s="23" t="s">
        <v>20</v>
      </c>
      <c r="F670" s="24" t="s">
        <v>21</v>
      </c>
      <c r="G670" s="25" t="s">
        <v>323</v>
      </c>
      <c r="H670" s="25" t="s">
        <v>23</v>
      </c>
      <c r="I670" s="26" t="s">
        <v>24</v>
      </c>
      <c r="J670" s="26" t="s">
        <v>25</v>
      </c>
      <c r="K670" s="25" t="s">
        <v>26</v>
      </c>
      <c r="L670" s="27"/>
      <c r="N670" s="9"/>
    </row>
    <row r="671" spans="1:14" s="9" customFormat="1" ht="12.75" x14ac:dyDescent="0.2">
      <c r="A671" s="58"/>
      <c r="B671" s="376" t="s">
        <v>371</v>
      </c>
      <c r="C671" s="413" t="s">
        <v>372</v>
      </c>
      <c r="D671" s="30"/>
      <c r="E671" s="197"/>
      <c r="F671" s="184"/>
      <c r="G671" s="140"/>
      <c r="H671" s="140"/>
      <c r="I671" s="140"/>
      <c r="J671" s="140"/>
      <c r="K671" s="34"/>
      <c r="L671" s="27"/>
    </row>
    <row r="672" spans="1:14" s="9" customFormat="1" ht="15" x14ac:dyDescent="0.2">
      <c r="A672" s="58"/>
      <c r="B672" s="376" t="s">
        <v>396</v>
      </c>
      <c r="C672" s="413" t="s">
        <v>397</v>
      </c>
      <c r="D672" s="30" t="s">
        <v>244</v>
      </c>
      <c r="E672" s="139">
        <f>I672/F672</f>
        <v>0</v>
      </c>
      <c r="F672" s="216">
        <f>127.2+37.3</f>
        <v>164.5</v>
      </c>
      <c r="G672" s="140">
        <f>SUM(G674:G699)</f>
        <v>0</v>
      </c>
      <c r="H672" s="140">
        <f>SUM(H674:H699)</f>
        <v>0</v>
      </c>
      <c r="I672" s="140">
        <f>H672+G672</f>
        <v>0</v>
      </c>
      <c r="J672" s="140">
        <f>I672/100*21</f>
        <v>0</v>
      </c>
      <c r="K672" s="34">
        <f>J672+I672</f>
        <v>0</v>
      </c>
      <c r="L672" s="214"/>
    </row>
    <row r="673" spans="1:12" s="9" customFormat="1" ht="15" x14ac:dyDescent="0.2">
      <c r="A673" s="58"/>
      <c r="B673" s="377"/>
      <c r="C673" s="414" t="s">
        <v>703</v>
      </c>
      <c r="D673" s="18"/>
      <c r="E673" s="231"/>
      <c r="F673" s="232"/>
      <c r="G673" s="62"/>
      <c r="H673" s="62"/>
      <c r="I673" s="62"/>
      <c r="J673" s="62"/>
      <c r="K673" s="129"/>
      <c r="L673" s="8"/>
    </row>
    <row r="674" spans="1:12" s="9" customFormat="1" ht="89.25" x14ac:dyDescent="0.2">
      <c r="A674" s="18"/>
      <c r="B674" s="377" t="s">
        <v>34</v>
      </c>
      <c r="C674" s="414" t="s">
        <v>704</v>
      </c>
      <c r="D674" s="10" t="s">
        <v>345</v>
      </c>
      <c r="E674" s="148"/>
      <c r="F674" s="222">
        <f>127.2*0.015</f>
        <v>1.9079999999999999</v>
      </c>
      <c r="G674" s="210">
        <f>E674*F674</f>
        <v>0</v>
      </c>
      <c r="H674" s="210"/>
      <c r="I674" s="211">
        <v>1E-3</v>
      </c>
      <c r="J674" s="212">
        <f>I674*F674</f>
        <v>1.908E-3</v>
      </c>
      <c r="K674" s="146"/>
      <c r="L674" s="8"/>
    </row>
    <row r="675" spans="1:12" s="9" customFormat="1" ht="114.75" x14ac:dyDescent="0.2">
      <c r="A675" s="18"/>
      <c r="B675" s="377"/>
      <c r="C675" s="414" t="s">
        <v>701</v>
      </c>
      <c r="D675" s="10"/>
      <c r="E675" s="141"/>
      <c r="F675" s="222"/>
      <c r="G675" s="210"/>
      <c r="H675" s="210"/>
      <c r="I675" s="211"/>
      <c r="J675" s="212"/>
      <c r="K675" s="146"/>
      <c r="L675" s="8"/>
    </row>
    <row r="676" spans="1:12" s="9" customFormat="1" ht="38.25" x14ac:dyDescent="0.2">
      <c r="A676" s="18"/>
      <c r="B676" s="377"/>
      <c r="C676" s="421" t="s">
        <v>344</v>
      </c>
      <c r="D676" s="10" t="s">
        <v>345</v>
      </c>
      <c r="E676" s="148"/>
      <c r="F676" s="222">
        <f>37.3*0.03</f>
        <v>1.1189999999999998</v>
      </c>
      <c r="G676" s="210">
        <f>E676*F676</f>
        <v>0</v>
      </c>
      <c r="H676" s="210"/>
      <c r="I676" s="211"/>
      <c r="J676" s="212"/>
      <c r="K676" s="146"/>
      <c r="L676" s="8"/>
    </row>
    <row r="677" spans="1:12" s="9" customFormat="1" ht="102" x14ac:dyDescent="0.2">
      <c r="A677" s="18"/>
      <c r="B677" s="377"/>
      <c r="C677" s="414" t="s">
        <v>398</v>
      </c>
      <c r="D677" s="233"/>
      <c r="E677" s="234"/>
      <c r="F677" s="235"/>
      <c r="G677" s="210"/>
      <c r="H677" s="210"/>
      <c r="I677" s="211"/>
      <c r="J677" s="212"/>
      <c r="K677" s="146"/>
      <c r="L677" s="214"/>
    </row>
    <row r="678" spans="1:12" s="9" customFormat="1" ht="12.75" x14ac:dyDescent="0.2">
      <c r="A678" s="58"/>
      <c r="B678" s="377">
        <v>183403113</v>
      </c>
      <c r="C678" s="414" t="s">
        <v>355</v>
      </c>
      <c r="D678" s="10" t="s">
        <v>66</v>
      </c>
      <c r="E678" s="185"/>
      <c r="F678" s="150">
        <f>F672</f>
        <v>164.5</v>
      </c>
      <c r="G678" s="62"/>
      <c r="H678" s="62">
        <f>E678*F678</f>
        <v>0</v>
      </c>
      <c r="I678" s="144"/>
      <c r="J678" s="145"/>
      <c r="K678" s="146"/>
      <c r="L678" s="8"/>
    </row>
    <row r="679" spans="1:12" s="9" customFormat="1" ht="12.75" x14ac:dyDescent="0.2">
      <c r="A679" s="58"/>
      <c r="B679" s="377" t="s">
        <v>34</v>
      </c>
      <c r="C679" s="414" t="s">
        <v>399</v>
      </c>
      <c r="D679" s="18" t="s">
        <v>39</v>
      </c>
      <c r="E679" s="200"/>
      <c r="F679" s="10">
        <f>F672*0.05*1.1</f>
        <v>9.0475000000000012</v>
      </c>
      <c r="G679" s="62">
        <f>E679*F679</f>
        <v>0</v>
      </c>
      <c r="H679" s="62"/>
      <c r="I679" s="144"/>
      <c r="J679" s="145"/>
      <c r="K679" s="146"/>
      <c r="L679" s="214"/>
    </row>
    <row r="680" spans="1:12" s="9" customFormat="1" ht="25.5" x14ac:dyDescent="0.2">
      <c r="A680" s="58"/>
      <c r="B680" s="377">
        <v>181351103</v>
      </c>
      <c r="C680" s="414" t="s">
        <v>385</v>
      </c>
      <c r="D680" s="18" t="s">
        <v>66</v>
      </c>
      <c r="E680" s="152"/>
      <c r="F680" s="150">
        <f>F672/2</f>
        <v>82.25</v>
      </c>
      <c r="G680" s="62"/>
      <c r="H680" s="62">
        <f>E680*F680</f>
        <v>0</v>
      </c>
      <c r="I680" s="144"/>
      <c r="J680" s="145"/>
      <c r="K680" s="146"/>
      <c r="L680" s="214"/>
    </row>
    <row r="681" spans="1:12" s="9" customFormat="1" ht="25.5" x14ac:dyDescent="0.2">
      <c r="A681" s="58"/>
      <c r="B681" s="377">
        <v>183403114</v>
      </c>
      <c r="C681" s="414" t="s">
        <v>357</v>
      </c>
      <c r="D681" s="10" t="s">
        <v>66</v>
      </c>
      <c r="E681" s="141"/>
      <c r="F681" s="150">
        <f>F672*2</f>
        <v>329</v>
      </c>
      <c r="G681" s="62"/>
      <c r="H681" s="62">
        <f>E681*F681</f>
        <v>0</v>
      </c>
      <c r="I681" s="144"/>
      <c r="J681" s="145"/>
      <c r="K681" s="146"/>
      <c r="L681" s="214"/>
    </row>
    <row r="682" spans="1:12" s="9" customFormat="1" ht="25.5" x14ac:dyDescent="0.2">
      <c r="A682" s="58"/>
      <c r="B682" s="377" t="s">
        <v>34</v>
      </c>
      <c r="C682" s="414" t="s">
        <v>400</v>
      </c>
      <c r="D682" s="18" t="s">
        <v>39</v>
      </c>
      <c r="E682" s="148"/>
      <c r="F682" s="10">
        <f>F672*0.15*1.1</f>
        <v>27.142500000000002</v>
      </c>
      <c r="G682" s="62">
        <f>E682*F682</f>
        <v>0</v>
      </c>
      <c r="H682" s="62"/>
      <c r="I682" s="144"/>
      <c r="J682" s="145"/>
      <c r="K682" s="146"/>
      <c r="L682" s="214"/>
    </row>
    <row r="683" spans="1:12" s="9" customFormat="1" ht="25.5" x14ac:dyDescent="0.2">
      <c r="A683" s="58"/>
      <c r="B683" s="377">
        <v>181351103</v>
      </c>
      <c r="C683" s="414" t="s">
        <v>385</v>
      </c>
      <c r="D683" s="18" t="s">
        <v>66</v>
      </c>
      <c r="E683" s="152"/>
      <c r="F683" s="150">
        <f>F672</f>
        <v>164.5</v>
      </c>
      <c r="G683" s="62"/>
      <c r="H683" s="62">
        <f>E683*F683</f>
        <v>0</v>
      </c>
      <c r="I683" s="144"/>
      <c r="J683" s="145"/>
      <c r="K683" s="146"/>
      <c r="L683" s="214"/>
    </row>
    <row r="684" spans="1:12" s="9" customFormat="1" ht="25.5" x14ac:dyDescent="0.2">
      <c r="A684" s="58"/>
      <c r="B684" s="377">
        <v>183403114</v>
      </c>
      <c r="C684" s="414" t="s">
        <v>357</v>
      </c>
      <c r="D684" s="10" t="s">
        <v>66</v>
      </c>
      <c r="E684" s="141"/>
      <c r="F684" s="150">
        <f>F672*2</f>
        <v>329</v>
      </c>
      <c r="G684" s="62"/>
      <c r="H684" s="62">
        <f>E684*F684</f>
        <v>0</v>
      </c>
      <c r="I684" s="144"/>
      <c r="J684" s="145"/>
      <c r="K684" s="146"/>
      <c r="L684" s="214"/>
    </row>
    <row r="685" spans="1:12" s="9" customFormat="1" ht="25.5" x14ac:dyDescent="0.2">
      <c r="A685" s="58"/>
      <c r="B685" s="377" t="s">
        <v>34</v>
      </c>
      <c r="C685" s="414" t="s">
        <v>362</v>
      </c>
      <c r="D685" s="10" t="s">
        <v>345</v>
      </c>
      <c r="E685" s="141"/>
      <c r="F685" s="10">
        <f>F672*0.03</f>
        <v>4.9349999999999996</v>
      </c>
      <c r="G685" s="62">
        <f>E685*F685</f>
        <v>0</v>
      </c>
      <c r="H685" s="62"/>
      <c r="I685" s="144">
        <v>1E-3</v>
      </c>
      <c r="J685" s="145">
        <f>I685*F685</f>
        <v>4.9349999999999993E-3</v>
      </c>
      <c r="K685" s="146"/>
      <c r="L685" s="214"/>
    </row>
    <row r="686" spans="1:12" s="9" customFormat="1" ht="12.75" x14ac:dyDescent="0.2">
      <c r="A686" s="58"/>
      <c r="B686" s="377">
        <v>185802113</v>
      </c>
      <c r="C686" s="414" t="s">
        <v>363</v>
      </c>
      <c r="D686" s="10" t="s">
        <v>16</v>
      </c>
      <c r="E686" s="141"/>
      <c r="F686" s="10">
        <f>(F685)*0.001</f>
        <v>4.9349999999999993E-3</v>
      </c>
      <c r="G686" s="62"/>
      <c r="H686" s="62">
        <f>E686*F686</f>
        <v>0</v>
      </c>
      <c r="I686" s="144"/>
      <c r="J686" s="145"/>
      <c r="K686" s="146"/>
      <c r="L686" s="214"/>
    </row>
    <row r="687" spans="1:12" s="9" customFormat="1" ht="12.75" x14ac:dyDescent="0.2">
      <c r="A687" s="58"/>
      <c r="B687" s="377">
        <v>183403152</v>
      </c>
      <c r="C687" s="414" t="s">
        <v>358</v>
      </c>
      <c r="D687" s="10" t="s">
        <v>66</v>
      </c>
      <c r="E687" s="141"/>
      <c r="F687" s="150">
        <f>F672</f>
        <v>164.5</v>
      </c>
      <c r="G687" s="62"/>
      <c r="H687" s="62">
        <f>E687*F687</f>
        <v>0</v>
      </c>
      <c r="I687" s="144"/>
      <c r="J687" s="145"/>
      <c r="K687" s="146"/>
      <c r="L687" s="214"/>
    </row>
    <row r="688" spans="1:12" s="9" customFormat="1" ht="12.75" x14ac:dyDescent="0.2">
      <c r="A688" s="58"/>
      <c r="B688" s="377">
        <v>183403161</v>
      </c>
      <c r="C688" s="414" t="s">
        <v>364</v>
      </c>
      <c r="D688" s="10" t="s">
        <v>66</v>
      </c>
      <c r="E688" s="141"/>
      <c r="F688" s="150">
        <f>F672*2</f>
        <v>329</v>
      </c>
      <c r="G688" s="62"/>
      <c r="H688" s="62">
        <f>E688*F688</f>
        <v>0</v>
      </c>
      <c r="I688" s="144"/>
      <c r="J688" s="145"/>
      <c r="K688" s="146"/>
      <c r="L688" s="214"/>
    </row>
    <row r="689" spans="1:14" s="9" customFormat="1" ht="119.25" x14ac:dyDescent="0.2">
      <c r="A689" s="18"/>
      <c r="B689" s="377"/>
      <c r="C689" s="414" t="s">
        <v>705</v>
      </c>
      <c r="D689" s="10"/>
      <c r="E689" s="58"/>
      <c r="F689" s="44"/>
      <c r="G689" s="210"/>
      <c r="H689" s="210"/>
      <c r="I689" s="211"/>
      <c r="J689" s="212"/>
      <c r="K689" s="146"/>
      <c r="L689" s="214"/>
    </row>
    <row r="690" spans="1:14" s="9" customFormat="1" ht="12.75" x14ac:dyDescent="0.2">
      <c r="A690" s="58"/>
      <c r="B690" s="377" t="s">
        <v>18</v>
      </c>
      <c r="C690" s="414" t="s">
        <v>366</v>
      </c>
      <c r="D690" s="10" t="s">
        <v>345</v>
      </c>
      <c r="E690" s="141"/>
      <c r="F690" s="222">
        <f>F674</f>
        <v>1.9079999999999999</v>
      </c>
      <c r="G690" s="62"/>
      <c r="H690" s="62"/>
      <c r="I690" s="144"/>
      <c r="J690" s="145"/>
      <c r="K690" s="146"/>
      <c r="L690" s="214"/>
    </row>
    <row r="691" spans="1:14" s="9" customFormat="1" ht="12.75" x14ac:dyDescent="0.2">
      <c r="A691" s="29"/>
      <c r="B691" s="377" t="s">
        <v>32</v>
      </c>
      <c r="C691" s="414" t="s">
        <v>377</v>
      </c>
      <c r="D691" s="18" t="s">
        <v>39</v>
      </c>
      <c r="E691" s="200"/>
      <c r="F691" s="226">
        <f>F676*5/1000</f>
        <v>5.5949999999999993E-3</v>
      </c>
      <c r="G691" s="210"/>
      <c r="H691" s="210">
        <f>E691*F691</f>
        <v>0</v>
      </c>
      <c r="I691" s="211"/>
      <c r="J691" s="212"/>
      <c r="K691" s="146"/>
      <c r="L691" s="8"/>
    </row>
    <row r="692" spans="1:14" s="9" customFormat="1" ht="12.75" x14ac:dyDescent="0.2">
      <c r="A692" s="18"/>
      <c r="B692" s="377">
        <v>181411131</v>
      </c>
      <c r="C692" s="414" t="s">
        <v>401</v>
      </c>
      <c r="D692" s="18" t="s">
        <v>66</v>
      </c>
      <c r="E692" s="209"/>
      <c r="F692" s="135">
        <f>F672</f>
        <v>164.5</v>
      </c>
      <c r="G692" s="210"/>
      <c r="H692" s="210">
        <f>E692*F692</f>
        <v>0</v>
      </c>
      <c r="I692" s="211"/>
      <c r="J692" s="212"/>
      <c r="K692" s="146"/>
      <c r="L692" s="8"/>
    </row>
    <row r="693" spans="1:14" s="9" customFormat="1" ht="12.75" x14ac:dyDescent="0.2">
      <c r="A693" s="18"/>
      <c r="B693" s="377">
        <v>183403161</v>
      </c>
      <c r="C693" s="414" t="s">
        <v>364</v>
      </c>
      <c r="D693" s="10" t="s">
        <v>66</v>
      </c>
      <c r="E693" s="141"/>
      <c r="F693" s="135">
        <f>F672*2</f>
        <v>329</v>
      </c>
      <c r="G693" s="210"/>
      <c r="H693" s="210">
        <f>E693*F693</f>
        <v>0</v>
      </c>
      <c r="I693" s="211"/>
      <c r="J693" s="212"/>
      <c r="K693" s="146"/>
      <c r="L693" s="8"/>
    </row>
    <row r="694" spans="1:14" s="9" customFormat="1" ht="12.75" x14ac:dyDescent="0.2">
      <c r="A694" s="58"/>
      <c r="B694" s="377" t="s">
        <v>18</v>
      </c>
      <c r="C694" s="414" t="s">
        <v>367</v>
      </c>
      <c r="D694" s="10"/>
      <c r="E694" s="141"/>
      <c r="F694" s="10"/>
      <c r="G694" s="62"/>
      <c r="H694" s="62"/>
      <c r="I694" s="144"/>
      <c r="J694" s="145"/>
      <c r="K694" s="146"/>
      <c r="L694" s="8"/>
    </row>
    <row r="695" spans="1:14" s="9" customFormat="1" ht="12.75" x14ac:dyDescent="0.2">
      <c r="A695" s="58"/>
      <c r="B695" s="377">
        <v>185804312</v>
      </c>
      <c r="C695" s="414" t="s">
        <v>288</v>
      </c>
      <c r="D695" s="10" t="s">
        <v>39</v>
      </c>
      <c r="E695" s="148"/>
      <c r="F695" s="150">
        <f>F672*0.01</f>
        <v>1.645</v>
      </c>
      <c r="G695" s="62"/>
      <c r="H695" s="62">
        <f>E695*F695</f>
        <v>0</v>
      </c>
      <c r="I695" s="144"/>
      <c r="J695" s="145"/>
      <c r="K695" s="146"/>
      <c r="L695" s="8"/>
    </row>
    <row r="696" spans="1:14" s="9" customFormat="1" ht="25.5" x14ac:dyDescent="0.2">
      <c r="A696" s="58"/>
      <c r="B696" s="377"/>
      <c r="C696" s="414" t="s">
        <v>402</v>
      </c>
      <c r="D696" s="10"/>
      <c r="E696" s="141"/>
      <c r="F696" s="10"/>
      <c r="G696" s="62"/>
      <c r="H696" s="62"/>
      <c r="I696" s="144"/>
      <c r="J696" s="145"/>
      <c r="K696" s="146"/>
      <c r="L696" s="8"/>
    </row>
    <row r="697" spans="1:14" s="9" customFormat="1" ht="12.75" x14ac:dyDescent="0.2">
      <c r="A697" s="58"/>
      <c r="B697" s="377">
        <v>185803111</v>
      </c>
      <c r="C697" s="414" t="s">
        <v>370</v>
      </c>
      <c r="D697" s="10" t="s">
        <v>66</v>
      </c>
      <c r="E697" s="141"/>
      <c r="F697" s="150">
        <f>F672</f>
        <v>164.5</v>
      </c>
      <c r="G697" s="62"/>
      <c r="H697" s="62">
        <f>E697*F697</f>
        <v>0</v>
      </c>
      <c r="I697" s="144"/>
      <c r="J697" s="145"/>
      <c r="K697" s="146"/>
      <c r="L697" s="8"/>
    </row>
    <row r="698" spans="1:14" s="9" customFormat="1" ht="12.75" x14ac:dyDescent="0.2">
      <c r="A698" s="58"/>
      <c r="B698" s="377" t="s">
        <v>90</v>
      </c>
      <c r="C698" s="414" t="s">
        <v>290</v>
      </c>
      <c r="D698" s="10" t="s">
        <v>39</v>
      </c>
      <c r="E698" s="148"/>
      <c r="F698" s="154">
        <f>F684*0.002</f>
        <v>0.65800000000000003</v>
      </c>
      <c r="G698" s="62">
        <f>E698*F698</f>
        <v>0</v>
      </c>
      <c r="H698" s="62"/>
      <c r="I698" s="144"/>
      <c r="J698" s="145"/>
      <c r="K698" s="146"/>
      <c r="L698" s="8"/>
    </row>
    <row r="699" spans="1:14" s="9" customFormat="1" ht="12.75" x14ac:dyDescent="0.2">
      <c r="A699" s="58"/>
      <c r="B699" s="380">
        <v>998231411</v>
      </c>
      <c r="C699" s="410" t="s">
        <v>94</v>
      </c>
      <c r="D699" s="13" t="s">
        <v>16</v>
      </c>
      <c r="E699" s="183"/>
      <c r="F699" s="236">
        <f>J699</f>
        <v>6.8429999999999993E-3</v>
      </c>
      <c r="G699" s="120"/>
      <c r="H699" s="120">
        <f>E699*F699</f>
        <v>0</v>
      </c>
      <c r="I699" s="155" t="s">
        <v>6</v>
      </c>
      <c r="J699" s="121">
        <f>SUM(J674:J698)</f>
        <v>6.8429999999999993E-3</v>
      </c>
      <c r="K699" s="224"/>
      <c r="L699" s="8"/>
    </row>
    <row r="700" spans="1:14" s="9" customFormat="1" ht="12.75" x14ac:dyDescent="0.2">
      <c r="A700" s="58"/>
      <c r="B700" s="382"/>
      <c r="C700" s="422"/>
      <c r="D700" s="112"/>
      <c r="E700" s="227"/>
      <c r="F700" s="112"/>
      <c r="G700" s="228"/>
      <c r="H700" s="228"/>
      <c r="I700" s="228"/>
      <c r="J700" s="228"/>
      <c r="K700" s="65"/>
      <c r="L700" s="27"/>
    </row>
    <row r="701" spans="1:14" s="28" customFormat="1" ht="25.5" x14ac:dyDescent="0.2">
      <c r="A701" s="22"/>
      <c r="B701" s="375" t="s">
        <v>18</v>
      </c>
      <c r="C701" s="412" t="s">
        <v>19</v>
      </c>
      <c r="D701" s="23"/>
      <c r="E701" s="23" t="s">
        <v>20</v>
      </c>
      <c r="F701" s="24" t="s">
        <v>21</v>
      </c>
      <c r="G701" s="25" t="s">
        <v>323</v>
      </c>
      <c r="H701" s="25" t="s">
        <v>23</v>
      </c>
      <c r="I701" s="26" t="s">
        <v>24</v>
      </c>
      <c r="J701" s="26" t="s">
        <v>25</v>
      </c>
      <c r="K701" s="25" t="s">
        <v>26</v>
      </c>
      <c r="L701" s="27"/>
      <c r="N701" s="9"/>
    </row>
    <row r="702" spans="1:14" s="9" customFormat="1" ht="25.5" x14ac:dyDescent="0.2">
      <c r="A702" s="58"/>
      <c r="B702" s="376" t="s">
        <v>403</v>
      </c>
      <c r="C702" s="413" t="s">
        <v>404</v>
      </c>
      <c r="D702" s="30"/>
      <c r="E702" s="197"/>
      <c r="F702" s="184"/>
      <c r="G702" s="140"/>
      <c r="H702" s="140"/>
      <c r="I702" s="140"/>
      <c r="J702" s="140"/>
      <c r="K702" s="34"/>
      <c r="L702" s="8"/>
    </row>
    <row r="703" spans="1:14" s="9" customFormat="1" ht="15" x14ac:dyDescent="0.2">
      <c r="A703" s="58"/>
      <c r="B703" s="376" t="s">
        <v>405</v>
      </c>
      <c r="C703" s="413" t="s">
        <v>406</v>
      </c>
      <c r="D703" s="30" t="s">
        <v>244</v>
      </c>
      <c r="E703" s="139">
        <f>I703/F703</f>
        <v>0</v>
      </c>
      <c r="F703" s="216">
        <f>73*1.2</f>
        <v>87.6</v>
      </c>
      <c r="G703" s="140">
        <f>SUM(G704:G735)</f>
        <v>0</v>
      </c>
      <c r="H703" s="140">
        <f>SUM(H704:H735)</f>
        <v>0</v>
      </c>
      <c r="I703" s="140">
        <f>H703+G703</f>
        <v>0</v>
      </c>
      <c r="J703" s="140">
        <f>I703/100*21</f>
        <v>0</v>
      </c>
      <c r="K703" s="34">
        <f>J703+I703</f>
        <v>0</v>
      </c>
      <c r="L703" s="8"/>
    </row>
    <row r="704" spans="1:14" s="9" customFormat="1" ht="15" x14ac:dyDescent="0.2">
      <c r="A704" s="58"/>
      <c r="B704" s="377" t="s">
        <v>18</v>
      </c>
      <c r="C704" s="414" t="s">
        <v>407</v>
      </c>
      <c r="D704" s="10" t="s">
        <v>408</v>
      </c>
      <c r="E704" s="141"/>
      <c r="F704" s="10">
        <f>73*1.2*0.8</f>
        <v>70.08</v>
      </c>
      <c r="G704" s="62"/>
      <c r="H704" s="62"/>
      <c r="I704" s="144"/>
      <c r="J704" s="145"/>
      <c r="K704" s="65"/>
      <c r="L704" s="8"/>
    </row>
    <row r="705" spans="1:14" s="9" customFormat="1" ht="25.5" x14ac:dyDescent="0.2">
      <c r="A705" s="58"/>
      <c r="B705" s="377">
        <v>132151253</v>
      </c>
      <c r="C705" s="414" t="s">
        <v>409</v>
      </c>
      <c r="D705" s="10" t="s">
        <v>39</v>
      </c>
      <c r="E705" s="148"/>
      <c r="F705" s="10">
        <f>F704</f>
        <v>70.08</v>
      </c>
      <c r="G705" s="62"/>
      <c r="H705" s="62">
        <f>E705*F705</f>
        <v>0</v>
      </c>
      <c r="I705" s="144"/>
      <c r="J705" s="145"/>
      <c r="K705" s="65"/>
      <c r="L705" s="8"/>
    </row>
    <row r="706" spans="1:14" s="9" customFormat="1" ht="15" x14ac:dyDescent="0.2">
      <c r="A706" s="58"/>
      <c r="B706" s="377" t="s">
        <v>90</v>
      </c>
      <c r="C706" s="414" t="s">
        <v>410</v>
      </c>
      <c r="D706" s="10" t="s">
        <v>408</v>
      </c>
      <c r="E706" s="148"/>
      <c r="F706" s="10">
        <f>F704</f>
        <v>70.08</v>
      </c>
      <c r="G706" s="62">
        <f>E706*F706</f>
        <v>0</v>
      </c>
      <c r="H706" s="62"/>
      <c r="I706" s="144"/>
      <c r="J706" s="145"/>
      <c r="K706" s="65"/>
      <c r="L706" s="214"/>
    </row>
    <row r="707" spans="1:14" s="78" customFormat="1" ht="25.5" x14ac:dyDescent="0.2">
      <c r="A707" s="58"/>
      <c r="B707" s="377" t="s">
        <v>18</v>
      </c>
      <c r="C707" s="414" t="s">
        <v>411</v>
      </c>
      <c r="D707" s="10" t="s">
        <v>408</v>
      </c>
      <c r="E707" s="148"/>
      <c r="F707" s="10">
        <f>1*1.2*0.7</f>
        <v>0.84</v>
      </c>
      <c r="G707" s="62"/>
      <c r="H707" s="62"/>
      <c r="I707" s="144"/>
      <c r="J707" s="145"/>
      <c r="K707" s="65"/>
      <c r="L707" s="8"/>
      <c r="N707" s="9"/>
    </row>
    <row r="708" spans="1:14" s="9" customFormat="1" ht="15" x14ac:dyDescent="0.2">
      <c r="A708" s="18"/>
      <c r="B708" s="377">
        <v>122211101</v>
      </c>
      <c r="C708" s="414" t="s">
        <v>412</v>
      </c>
      <c r="D708" s="10" t="s">
        <v>408</v>
      </c>
      <c r="E708" s="148"/>
      <c r="F708" s="10">
        <f>F707</f>
        <v>0.84</v>
      </c>
      <c r="G708" s="62"/>
      <c r="H708" s="62">
        <f>E708*F708</f>
        <v>0</v>
      </c>
      <c r="I708" s="144"/>
      <c r="J708" s="145"/>
      <c r="K708" s="65"/>
      <c r="L708" s="8"/>
    </row>
    <row r="709" spans="1:14" s="9" customFormat="1" ht="15" x14ac:dyDescent="0.2">
      <c r="A709" s="18"/>
      <c r="B709" s="377" t="s">
        <v>90</v>
      </c>
      <c r="C709" s="414" t="s">
        <v>410</v>
      </c>
      <c r="D709" s="10" t="s">
        <v>408</v>
      </c>
      <c r="E709" s="148"/>
      <c r="F709" s="10">
        <f>F707</f>
        <v>0.84</v>
      </c>
      <c r="G709" s="62">
        <f>E709*F709</f>
        <v>0</v>
      </c>
      <c r="H709" s="62"/>
      <c r="I709" s="144"/>
      <c r="J709" s="145"/>
      <c r="K709" s="65"/>
      <c r="L709" s="8"/>
    </row>
    <row r="710" spans="1:14" s="9" customFormat="1" ht="12.75" x14ac:dyDescent="0.2">
      <c r="A710" s="18"/>
      <c r="B710" s="377"/>
      <c r="C710" s="414"/>
      <c r="D710" s="10"/>
      <c r="E710" s="148"/>
      <c r="F710" s="10"/>
      <c r="G710" s="62"/>
      <c r="H710" s="62"/>
      <c r="I710" s="237"/>
      <c r="J710" s="128"/>
      <c r="K710" s="65"/>
      <c r="L710" s="199"/>
    </row>
    <row r="711" spans="1:14" s="9" customFormat="1" ht="12.75" x14ac:dyDescent="0.2">
      <c r="A711" s="18"/>
      <c r="B711" s="377"/>
      <c r="C711" s="414" t="s">
        <v>413</v>
      </c>
      <c r="D711" s="10"/>
      <c r="E711" s="148"/>
      <c r="F711" s="10"/>
      <c r="G711" s="62"/>
      <c r="H711" s="62"/>
      <c r="I711" s="237"/>
      <c r="J711" s="128"/>
      <c r="K711" s="65"/>
      <c r="L711" s="199"/>
    </row>
    <row r="712" spans="1:14" s="9" customFormat="1" ht="12.75" x14ac:dyDescent="0.2">
      <c r="A712" s="58"/>
      <c r="B712" s="377" t="s">
        <v>34</v>
      </c>
      <c r="C712" s="414" t="s">
        <v>414</v>
      </c>
      <c r="D712" s="10"/>
      <c r="E712" s="148"/>
      <c r="F712" s="10">
        <f>1*1.2*0.4</f>
        <v>0.48</v>
      </c>
      <c r="G712" s="62">
        <f>E712*F712</f>
        <v>0</v>
      </c>
      <c r="H712" s="62"/>
      <c r="I712" s="237"/>
      <c r="J712" s="128"/>
      <c r="K712" s="65"/>
      <c r="L712" s="199"/>
    </row>
    <row r="713" spans="1:14" s="9" customFormat="1" ht="12.75" x14ac:dyDescent="0.2">
      <c r="A713" s="58"/>
      <c r="B713" s="377" t="s">
        <v>34</v>
      </c>
      <c r="C713" s="414" t="s">
        <v>415</v>
      </c>
      <c r="D713" s="10"/>
      <c r="E713" s="148"/>
      <c r="F713" s="10">
        <f>1*1.2*0.1</f>
        <v>0.12</v>
      </c>
      <c r="G713" s="62">
        <f>E713*F713</f>
        <v>0</v>
      </c>
      <c r="H713" s="62"/>
      <c r="I713" s="237"/>
      <c r="J713" s="128"/>
      <c r="K713" s="65"/>
      <c r="L713" s="27"/>
    </row>
    <row r="714" spans="1:14" s="78" customFormat="1" ht="12.75" x14ac:dyDescent="0.2">
      <c r="A714" s="58"/>
      <c r="B714" s="377" t="s">
        <v>34</v>
      </c>
      <c r="C714" s="414" t="s">
        <v>416</v>
      </c>
      <c r="D714" s="10"/>
      <c r="E714" s="148"/>
      <c r="F714" s="10">
        <f>1*1.2*0.1</f>
        <v>0.12</v>
      </c>
      <c r="G714" s="62">
        <f>E714*F714</f>
        <v>0</v>
      </c>
      <c r="H714" s="62"/>
      <c r="I714" s="237"/>
      <c r="J714" s="128"/>
      <c r="K714" s="65"/>
      <c r="L714" s="27"/>
      <c r="N714" s="9"/>
    </row>
    <row r="715" spans="1:14" s="78" customFormat="1" ht="12.75" x14ac:dyDescent="0.2">
      <c r="A715" s="58"/>
      <c r="B715" s="377" t="s">
        <v>34</v>
      </c>
      <c r="C715" s="414" t="s">
        <v>417</v>
      </c>
      <c r="D715" s="10"/>
      <c r="E715" s="148"/>
      <c r="F715" s="10">
        <f>1*1.2*0.1</f>
        <v>0.12</v>
      </c>
      <c r="G715" s="62">
        <f>E715*F715</f>
        <v>0</v>
      </c>
      <c r="H715" s="62"/>
      <c r="I715" s="237"/>
      <c r="J715" s="128"/>
      <c r="K715" s="65"/>
      <c r="L715" s="27"/>
      <c r="N715" s="9"/>
    </row>
    <row r="716" spans="1:14" s="78" customFormat="1" ht="15" x14ac:dyDescent="0.2">
      <c r="A716" s="58"/>
      <c r="B716" s="377">
        <v>171111105</v>
      </c>
      <c r="C716" s="414" t="s">
        <v>418</v>
      </c>
      <c r="D716" s="10" t="s">
        <v>408</v>
      </c>
      <c r="E716" s="148"/>
      <c r="F716" s="10">
        <f>SUM(F712:F715)</f>
        <v>0.84</v>
      </c>
      <c r="G716" s="62"/>
      <c r="H716" s="61">
        <f>E716*F716</f>
        <v>0</v>
      </c>
      <c r="I716" s="237"/>
      <c r="J716" s="128"/>
      <c r="K716" s="65"/>
      <c r="L716" s="27"/>
      <c r="N716" s="9"/>
    </row>
    <row r="717" spans="1:14" s="78" customFormat="1" ht="12.75" x14ac:dyDescent="0.2">
      <c r="A717" s="58"/>
      <c r="B717" s="377"/>
      <c r="C717" s="414" t="s">
        <v>419</v>
      </c>
      <c r="D717" s="10"/>
      <c r="E717" s="148"/>
      <c r="F717" s="10"/>
      <c r="G717" s="62"/>
      <c r="H717" s="62"/>
      <c r="I717" s="237"/>
      <c r="J717" s="128"/>
      <c r="K717" s="65"/>
      <c r="L717" s="27"/>
      <c r="N717" s="9"/>
    </row>
    <row r="718" spans="1:14" s="78" customFormat="1" ht="15" x14ac:dyDescent="0.2">
      <c r="A718" s="58"/>
      <c r="B718" s="377" t="s">
        <v>34</v>
      </c>
      <c r="C718" s="414" t="s">
        <v>420</v>
      </c>
      <c r="D718" s="10" t="s">
        <v>408</v>
      </c>
      <c r="E718" s="148"/>
      <c r="F718" s="10">
        <f>73*1.2*0.4</f>
        <v>35.04</v>
      </c>
      <c r="G718" s="62">
        <f>E718*F718</f>
        <v>0</v>
      </c>
      <c r="H718" s="62"/>
      <c r="I718" s="237"/>
      <c r="J718" s="128"/>
      <c r="K718" s="65"/>
      <c r="L718" s="27"/>
      <c r="N718" s="9"/>
    </row>
    <row r="719" spans="1:14" s="78" customFormat="1" ht="15" x14ac:dyDescent="0.2">
      <c r="A719" s="58"/>
      <c r="B719" s="377" t="s">
        <v>18</v>
      </c>
      <c r="C719" s="422" t="s">
        <v>421</v>
      </c>
      <c r="D719" s="10" t="s">
        <v>408</v>
      </c>
      <c r="E719" s="148"/>
      <c r="F719" s="10">
        <f>F718</f>
        <v>35.04</v>
      </c>
      <c r="G719" s="62"/>
      <c r="H719" s="62"/>
      <c r="I719" s="237"/>
      <c r="J719" s="128"/>
      <c r="K719" s="65"/>
      <c r="L719" s="199"/>
      <c r="N719" s="9"/>
    </row>
    <row r="720" spans="1:14" s="78" customFormat="1" ht="12.75" x14ac:dyDescent="0.2">
      <c r="A720" s="58"/>
      <c r="B720" s="377">
        <v>171151112</v>
      </c>
      <c r="C720" s="422" t="s">
        <v>422</v>
      </c>
      <c r="D720" s="10" t="s">
        <v>39</v>
      </c>
      <c r="E720" s="148"/>
      <c r="F720" s="10">
        <f>F718</f>
        <v>35.04</v>
      </c>
      <c r="G720" s="62"/>
      <c r="H720" s="62">
        <f>E720*F720</f>
        <v>0</v>
      </c>
      <c r="I720" s="237"/>
      <c r="J720" s="128"/>
      <c r="K720" s="65"/>
      <c r="L720" s="199"/>
      <c r="N720" s="9"/>
    </row>
    <row r="721" spans="1:14" s="78" customFormat="1" ht="12.75" x14ac:dyDescent="0.2">
      <c r="A721" s="58"/>
      <c r="B721" s="377" t="s">
        <v>18</v>
      </c>
      <c r="C721" s="422" t="s">
        <v>423</v>
      </c>
      <c r="D721" s="10"/>
      <c r="E721" s="148"/>
      <c r="F721" s="10"/>
      <c r="G721" s="62"/>
      <c r="H721" s="62"/>
      <c r="I721" s="237"/>
      <c r="J721" s="128"/>
      <c r="K721" s="65"/>
      <c r="L721" s="199"/>
      <c r="N721" s="9"/>
    </row>
    <row r="722" spans="1:14" s="9" customFormat="1" ht="15" x14ac:dyDescent="0.2">
      <c r="A722" s="58"/>
      <c r="B722" s="377" t="s">
        <v>34</v>
      </c>
      <c r="C722" s="422" t="s">
        <v>424</v>
      </c>
      <c r="D722" s="10" t="s">
        <v>408</v>
      </c>
      <c r="E722" s="148"/>
      <c r="F722" s="10">
        <f>73*1.2*0.05</f>
        <v>4.38</v>
      </c>
      <c r="G722" s="62">
        <f>E722*F722</f>
        <v>0</v>
      </c>
      <c r="H722" s="62"/>
      <c r="I722" s="63"/>
      <c r="J722" s="64"/>
      <c r="K722" s="65"/>
      <c r="L722" s="199"/>
    </row>
    <row r="723" spans="1:14" s="9" customFormat="1" ht="15" x14ac:dyDescent="0.2">
      <c r="A723" s="58"/>
      <c r="B723" s="377" t="s">
        <v>18</v>
      </c>
      <c r="C723" s="422" t="s">
        <v>425</v>
      </c>
      <c r="D723" s="10" t="s">
        <v>408</v>
      </c>
      <c r="E723" s="148"/>
      <c r="F723" s="10">
        <f>F722</f>
        <v>4.38</v>
      </c>
      <c r="G723" s="62"/>
      <c r="H723" s="62"/>
      <c r="I723" s="63"/>
      <c r="J723" s="145"/>
      <c r="K723" s="65"/>
      <c r="L723" s="199"/>
    </row>
    <row r="724" spans="1:14" s="9" customFormat="1" ht="12.75" x14ac:dyDescent="0.2">
      <c r="A724" s="58"/>
      <c r="B724" s="377">
        <v>171151112</v>
      </c>
      <c r="C724" s="422" t="s">
        <v>422</v>
      </c>
      <c r="D724" s="10" t="s">
        <v>39</v>
      </c>
      <c r="E724" s="148"/>
      <c r="F724" s="10">
        <f>F722</f>
        <v>4.38</v>
      </c>
      <c r="G724" s="62"/>
      <c r="H724" s="62">
        <f>E724*F724</f>
        <v>0</v>
      </c>
      <c r="I724" s="41"/>
      <c r="J724" s="42"/>
      <c r="K724" s="65"/>
      <c r="L724" s="199"/>
    </row>
    <row r="725" spans="1:14" s="9" customFormat="1" ht="25.5" x14ac:dyDescent="0.2">
      <c r="A725" s="58"/>
      <c r="B725" s="377" t="s">
        <v>34</v>
      </c>
      <c r="C725" s="422" t="s">
        <v>426</v>
      </c>
      <c r="D725" s="10" t="s">
        <v>39</v>
      </c>
      <c r="E725" s="141"/>
      <c r="F725" s="10">
        <f>73*1.2*0.35</f>
        <v>30.659999999999997</v>
      </c>
      <c r="G725" s="62">
        <f>E725*F725</f>
        <v>0</v>
      </c>
      <c r="H725" s="62"/>
      <c r="I725" s="41"/>
      <c r="J725" s="42"/>
      <c r="K725" s="65"/>
      <c r="L725" s="27"/>
    </row>
    <row r="726" spans="1:14" s="9" customFormat="1" ht="25.5" x14ac:dyDescent="0.2">
      <c r="A726" s="58"/>
      <c r="B726" s="377">
        <v>182351026</v>
      </c>
      <c r="C726" s="422" t="s">
        <v>427</v>
      </c>
      <c r="D726" s="10" t="s">
        <v>66</v>
      </c>
      <c r="E726" s="148"/>
      <c r="F726" s="10">
        <f>73*1.2</f>
        <v>87.6</v>
      </c>
      <c r="G726" s="62"/>
      <c r="H726" s="62">
        <f>E726*F726</f>
        <v>0</v>
      </c>
      <c r="I726" s="41"/>
      <c r="J726" s="42"/>
      <c r="K726" s="65"/>
      <c r="L726" s="27"/>
    </row>
    <row r="727" spans="1:14" s="9" customFormat="1" ht="15" x14ac:dyDescent="0.2">
      <c r="A727" s="58"/>
      <c r="B727" s="377">
        <v>183403153</v>
      </c>
      <c r="C727" s="422" t="s">
        <v>428</v>
      </c>
      <c r="D727" s="10" t="s">
        <v>244</v>
      </c>
      <c r="E727" s="141"/>
      <c r="F727" s="10">
        <f>F726</f>
        <v>87.6</v>
      </c>
      <c r="G727" s="62"/>
      <c r="H727" s="62">
        <f>E727*F727</f>
        <v>0</v>
      </c>
      <c r="I727" s="41"/>
      <c r="J727" s="42"/>
      <c r="K727" s="65"/>
      <c r="L727" s="199"/>
    </row>
    <row r="728" spans="1:14" s="9" customFormat="1" ht="12.75" x14ac:dyDescent="0.2">
      <c r="A728" s="58"/>
      <c r="B728" s="377" t="s">
        <v>34</v>
      </c>
      <c r="C728" s="422" t="s">
        <v>429</v>
      </c>
      <c r="D728" s="10" t="s">
        <v>39</v>
      </c>
      <c r="E728" s="141"/>
      <c r="F728" s="10">
        <f>74.2*0.2*0.1</f>
        <v>1.4840000000000002</v>
      </c>
      <c r="G728" s="62">
        <f>E728*F728</f>
        <v>0</v>
      </c>
      <c r="H728" s="62"/>
      <c r="I728" s="41"/>
      <c r="J728" s="42"/>
      <c r="K728" s="65"/>
      <c r="L728" s="199"/>
    </row>
    <row r="729" spans="1:14" s="9" customFormat="1" ht="25.5" x14ac:dyDescent="0.2">
      <c r="A729" s="58"/>
      <c r="B729" s="377">
        <v>182351026</v>
      </c>
      <c r="C729" s="422" t="s">
        <v>427</v>
      </c>
      <c r="D729" s="10" t="s">
        <v>66</v>
      </c>
      <c r="E729" s="148"/>
      <c r="F729" s="10">
        <f>73*1.2</f>
        <v>87.6</v>
      </c>
      <c r="G729" s="62"/>
      <c r="H729" s="62">
        <f>E729*F729</f>
        <v>0</v>
      </c>
      <c r="I729" s="41"/>
      <c r="J729" s="42"/>
      <c r="K729" s="65"/>
      <c r="L729" s="199"/>
    </row>
    <row r="730" spans="1:14" s="9" customFormat="1" ht="15" x14ac:dyDescent="0.2">
      <c r="A730" s="58"/>
      <c r="B730" s="377">
        <v>183403153</v>
      </c>
      <c r="C730" s="422" t="s">
        <v>428</v>
      </c>
      <c r="D730" s="10" t="s">
        <v>244</v>
      </c>
      <c r="E730" s="141"/>
      <c r="F730" s="10">
        <f>F729</f>
        <v>87.6</v>
      </c>
      <c r="G730" s="62"/>
      <c r="H730" s="62">
        <f>E730*F730</f>
        <v>0</v>
      </c>
      <c r="I730" s="41"/>
      <c r="J730" s="42"/>
      <c r="K730" s="65"/>
      <c r="L730" s="199"/>
    </row>
    <row r="731" spans="1:14" s="9" customFormat="1" ht="15" x14ac:dyDescent="0.2">
      <c r="A731" s="58"/>
      <c r="B731" s="377">
        <v>182112121</v>
      </c>
      <c r="C731" s="422" t="s">
        <v>430</v>
      </c>
      <c r="D731" s="10" t="s">
        <v>244</v>
      </c>
      <c r="E731" s="148"/>
      <c r="F731" s="10">
        <f>74*0.2</f>
        <v>14.8</v>
      </c>
      <c r="G731" s="62"/>
      <c r="H731" s="62">
        <f>E731*F731</f>
        <v>0</v>
      </c>
      <c r="I731" s="41"/>
      <c r="J731" s="42"/>
      <c r="K731" s="65"/>
      <c r="L731" s="199"/>
    </row>
    <row r="732" spans="1:14" s="9" customFormat="1" ht="12.75" x14ac:dyDescent="0.2">
      <c r="A732" s="58"/>
      <c r="B732" s="377" t="s">
        <v>34</v>
      </c>
      <c r="C732" s="422" t="s">
        <v>431</v>
      </c>
      <c r="D732" s="10" t="s">
        <v>39</v>
      </c>
      <c r="E732" s="141"/>
      <c r="F732" s="10">
        <f>10.8*0.4</f>
        <v>4.32</v>
      </c>
      <c r="G732" s="62">
        <f>E732*F732</f>
        <v>0</v>
      </c>
      <c r="H732" s="62"/>
      <c r="I732" s="41"/>
      <c r="J732" s="42"/>
      <c r="K732" s="65"/>
      <c r="L732" s="199"/>
    </row>
    <row r="733" spans="1:14" s="9" customFormat="1" ht="25.5" x14ac:dyDescent="0.2">
      <c r="A733" s="58"/>
      <c r="B733" s="377">
        <v>182351026</v>
      </c>
      <c r="C733" s="422" t="s">
        <v>427</v>
      </c>
      <c r="D733" s="10" t="s">
        <v>66</v>
      </c>
      <c r="E733" s="148"/>
      <c r="F733" s="10">
        <f>73*1.2</f>
        <v>87.6</v>
      </c>
      <c r="G733" s="62"/>
      <c r="H733" s="62">
        <f>E733*F733</f>
        <v>0</v>
      </c>
      <c r="I733" s="41"/>
      <c r="J733" s="42"/>
      <c r="K733" s="65"/>
      <c r="L733" s="199"/>
    </row>
    <row r="734" spans="1:14" s="9" customFormat="1" ht="15" x14ac:dyDescent="0.2">
      <c r="A734" s="58"/>
      <c r="B734" s="377">
        <v>182112121</v>
      </c>
      <c r="C734" s="422" t="s">
        <v>430</v>
      </c>
      <c r="D734" s="10" t="s">
        <v>244</v>
      </c>
      <c r="E734" s="148"/>
      <c r="F734" s="10">
        <f>74*0.2</f>
        <v>14.8</v>
      </c>
      <c r="G734" s="62"/>
      <c r="H734" s="62">
        <f>E734*F734</f>
        <v>0</v>
      </c>
      <c r="I734" s="41"/>
      <c r="J734" s="42"/>
      <c r="K734" s="65"/>
      <c r="L734" s="27"/>
    </row>
    <row r="735" spans="1:14" s="9" customFormat="1" ht="15" x14ac:dyDescent="0.2">
      <c r="A735" s="58"/>
      <c r="B735" s="380">
        <v>183403153</v>
      </c>
      <c r="C735" s="425" t="s">
        <v>428</v>
      </c>
      <c r="D735" s="13" t="s">
        <v>244</v>
      </c>
      <c r="E735" s="215"/>
      <c r="F735" s="13">
        <f>F734</f>
        <v>14.8</v>
      </c>
      <c r="G735" s="120"/>
      <c r="H735" s="120">
        <f>E735*F735</f>
        <v>0</v>
      </c>
      <c r="I735" s="238"/>
      <c r="J735" s="206"/>
      <c r="K735" s="138"/>
      <c r="L735" s="27"/>
    </row>
    <row r="736" spans="1:14" s="9" customFormat="1" ht="12.75" x14ac:dyDescent="0.2">
      <c r="A736" s="58"/>
      <c r="B736" s="382"/>
      <c r="C736" s="422"/>
      <c r="D736" s="112"/>
      <c r="E736" s="227"/>
      <c r="F736" s="112"/>
      <c r="G736" s="228"/>
      <c r="H736" s="228"/>
      <c r="I736" s="228"/>
      <c r="J736" s="228"/>
      <c r="K736" s="65"/>
      <c r="L736" s="27"/>
    </row>
    <row r="737" spans="1:14" s="28" customFormat="1" ht="25.5" x14ac:dyDescent="0.2">
      <c r="A737" s="22"/>
      <c r="B737" s="375" t="s">
        <v>18</v>
      </c>
      <c r="C737" s="412" t="s">
        <v>19</v>
      </c>
      <c r="D737" s="23"/>
      <c r="E737" s="23" t="s">
        <v>20</v>
      </c>
      <c r="F737" s="24" t="s">
        <v>21</v>
      </c>
      <c r="G737" s="25" t="s">
        <v>323</v>
      </c>
      <c r="H737" s="25" t="s">
        <v>23</v>
      </c>
      <c r="I737" s="26" t="s">
        <v>24</v>
      </c>
      <c r="J737" s="26" t="s">
        <v>25</v>
      </c>
      <c r="K737" s="25" t="s">
        <v>26</v>
      </c>
      <c r="L737" s="27"/>
      <c r="N737" s="9"/>
    </row>
    <row r="738" spans="1:14" s="9" customFormat="1" ht="12.75" x14ac:dyDescent="0.2">
      <c r="A738" s="58"/>
      <c r="B738" s="376" t="s">
        <v>403</v>
      </c>
      <c r="C738" s="413" t="s">
        <v>432</v>
      </c>
      <c r="D738" s="30"/>
      <c r="E738" s="197"/>
      <c r="F738" s="184"/>
      <c r="G738" s="140"/>
      <c r="H738" s="140"/>
      <c r="I738" s="140"/>
      <c r="J738" s="140"/>
      <c r="K738" s="34"/>
      <c r="L738" s="27"/>
    </row>
    <row r="739" spans="1:14" s="9" customFormat="1" ht="15" x14ac:dyDescent="0.2">
      <c r="A739" s="58"/>
      <c r="B739" s="376" t="s">
        <v>433</v>
      </c>
      <c r="C739" s="430" t="s">
        <v>434</v>
      </c>
      <c r="D739" s="30" t="s">
        <v>244</v>
      </c>
      <c r="E739" s="139">
        <f>I739/F739</f>
        <v>0</v>
      </c>
      <c r="F739" s="216">
        <f>73*1.2</f>
        <v>87.6</v>
      </c>
      <c r="G739" s="140">
        <f>SUM(G740:G768)</f>
        <v>0</v>
      </c>
      <c r="H739" s="140">
        <f>SUM(H740:H768)</f>
        <v>0</v>
      </c>
      <c r="I739" s="140">
        <f>H739+G739</f>
        <v>0</v>
      </c>
      <c r="J739" s="140">
        <f>I739/100*21</f>
        <v>0</v>
      </c>
      <c r="K739" s="34">
        <f>J739+I739</f>
        <v>0</v>
      </c>
      <c r="L739" s="27"/>
    </row>
    <row r="740" spans="1:14" s="9" customFormat="1" ht="12.75" x14ac:dyDescent="0.2">
      <c r="A740" s="58"/>
      <c r="B740" s="377">
        <v>1</v>
      </c>
      <c r="C740" s="422" t="s">
        <v>435</v>
      </c>
      <c r="D740" s="10"/>
      <c r="E740" s="141"/>
      <c r="F740" s="10"/>
      <c r="G740" s="62"/>
      <c r="H740" s="62"/>
      <c r="I740" s="41"/>
      <c r="J740" s="42"/>
      <c r="K740" s="65"/>
      <c r="L740" s="27"/>
    </row>
    <row r="741" spans="1:14" s="9" customFormat="1" ht="25.5" x14ac:dyDescent="0.2">
      <c r="A741" s="58"/>
      <c r="B741" s="377">
        <v>122211101</v>
      </c>
      <c r="C741" s="422" t="s">
        <v>436</v>
      </c>
      <c r="D741" s="10" t="s">
        <v>39</v>
      </c>
      <c r="E741" s="148"/>
      <c r="F741" s="10">
        <v>2.6459999999999999</v>
      </c>
      <c r="G741" s="62"/>
      <c r="H741" s="62">
        <f>E741*F741</f>
        <v>0</v>
      </c>
      <c r="I741" s="41"/>
      <c r="J741" s="42"/>
      <c r="K741" s="65"/>
      <c r="L741" s="27"/>
    </row>
    <row r="742" spans="1:14" s="9" customFormat="1" ht="12.75" x14ac:dyDescent="0.2">
      <c r="A742" s="58"/>
      <c r="B742" s="377"/>
      <c r="C742" s="422" t="s">
        <v>437</v>
      </c>
      <c r="D742" s="10"/>
      <c r="E742" s="141"/>
      <c r="F742" s="10"/>
      <c r="G742" s="62"/>
      <c r="H742" s="62"/>
      <c r="I742" s="41"/>
      <c r="J742" s="42"/>
      <c r="K742" s="65"/>
      <c r="L742" s="27"/>
    </row>
    <row r="743" spans="1:14" s="9" customFormat="1" ht="25.5" x14ac:dyDescent="0.2">
      <c r="A743" s="58"/>
      <c r="B743" s="377">
        <v>131213101</v>
      </c>
      <c r="C743" s="422" t="s">
        <v>438</v>
      </c>
      <c r="D743" s="10" t="s">
        <v>39</v>
      </c>
      <c r="E743" s="148"/>
      <c r="F743" s="10">
        <v>0.14399999999999999</v>
      </c>
      <c r="G743" s="62"/>
      <c r="H743" s="62">
        <f>E743*F743</f>
        <v>0</v>
      </c>
      <c r="I743" s="41"/>
      <c r="J743" s="42"/>
      <c r="K743" s="65"/>
      <c r="L743" s="27"/>
    </row>
    <row r="744" spans="1:14" s="78" customFormat="1" ht="25.5" x14ac:dyDescent="0.2">
      <c r="A744" s="58"/>
      <c r="B744" s="377"/>
      <c r="C744" s="422" t="s">
        <v>439</v>
      </c>
      <c r="D744" s="10"/>
      <c r="E744" s="141"/>
      <c r="F744" s="10"/>
      <c r="G744" s="62"/>
      <c r="H744" s="62"/>
      <c r="I744" s="41"/>
      <c r="J744" s="42"/>
      <c r="K744" s="65"/>
      <c r="L744" s="8"/>
      <c r="N744" s="9"/>
    </row>
    <row r="745" spans="1:14" s="78" customFormat="1" ht="25.5" x14ac:dyDescent="0.2">
      <c r="A745" s="58"/>
      <c r="B745" s="377">
        <v>174111101</v>
      </c>
      <c r="C745" s="422" t="s">
        <v>440</v>
      </c>
      <c r="D745" s="10" t="s">
        <v>39</v>
      </c>
      <c r="E745" s="148"/>
      <c r="F745" s="10">
        <v>2.3370000000000002</v>
      </c>
      <c r="G745" s="62"/>
      <c r="H745" s="62">
        <f>E745*F745</f>
        <v>0</v>
      </c>
      <c r="I745" s="41"/>
      <c r="J745" s="42"/>
      <c r="K745" s="65"/>
      <c r="L745" s="8"/>
      <c r="N745" s="9"/>
    </row>
    <row r="746" spans="1:14" s="78" customFormat="1" ht="12.75" x14ac:dyDescent="0.2">
      <c r="A746" s="58"/>
      <c r="B746" s="377"/>
      <c r="C746" s="422" t="s">
        <v>441</v>
      </c>
      <c r="D746" s="10"/>
      <c r="E746" s="141"/>
      <c r="F746" s="10"/>
      <c r="G746" s="62"/>
      <c r="H746" s="62"/>
      <c r="I746" s="41"/>
      <c r="J746" s="42"/>
      <c r="K746" s="65"/>
      <c r="L746" s="8"/>
      <c r="N746" s="9"/>
    </row>
    <row r="747" spans="1:14" s="78" customFormat="1" ht="12.75" x14ac:dyDescent="0.2">
      <c r="A747" s="58"/>
      <c r="B747" s="377"/>
      <c r="C747" s="422" t="s">
        <v>442</v>
      </c>
      <c r="D747" s="10"/>
      <c r="E747" s="141"/>
      <c r="F747" s="10"/>
      <c r="G747" s="62"/>
      <c r="H747" s="62"/>
      <c r="I747" s="41"/>
      <c r="J747" s="42"/>
      <c r="K747" s="65"/>
      <c r="L747" s="8"/>
      <c r="N747" s="9"/>
    </row>
    <row r="748" spans="1:14" s="78" customFormat="1" ht="12.75" x14ac:dyDescent="0.2">
      <c r="A748" s="58"/>
      <c r="B748" s="377"/>
      <c r="C748" s="422" t="s">
        <v>443</v>
      </c>
      <c r="D748" s="10"/>
      <c r="E748" s="141"/>
      <c r="F748" s="10"/>
      <c r="G748" s="62"/>
      <c r="H748" s="62"/>
      <c r="I748" s="41"/>
      <c r="J748" s="42"/>
      <c r="K748" s="65"/>
      <c r="L748" s="8"/>
      <c r="N748" s="9"/>
    </row>
    <row r="749" spans="1:14" s="78" customFormat="1" ht="12.75" x14ac:dyDescent="0.2">
      <c r="A749" s="58"/>
      <c r="B749" s="377"/>
      <c r="C749" s="422" t="s">
        <v>444</v>
      </c>
      <c r="D749" s="10"/>
      <c r="E749" s="141"/>
      <c r="F749" s="10"/>
      <c r="G749" s="62"/>
      <c r="H749" s="62"/>
      <c r="I749" s="41"/>
      <c r="J749" s="42"/>
      <c r="K749" s="65"/>
      <c r="L749" s="8"/>
      <c r="N749" s="9"/>
    </row>
    <row r="750" spans="1:14" s="78" customFormat="1" ht="12.75" x14ac:dyDescent="0.2">
      <c r="A750" s="58"/>
      <c r="B750" s="377"/>
      <c r="C750" s="422" t="s">
        <v>445</v>
      </c>
      <c r="D750" s="10"/>
      <c r="E750" s="141"/>
      <c r="F750" s="10"/>
      <c r="G750" s="62"/>
      <c r="H750" s="62"/>
      <c r="I750" s="41"/>
      <c r="J750" s="42"/>
      <c r="K750" s="65"/>
      <c r="L750" s="199"/>
      <c r="N750" s="9"/>
    </row>
    <row r="751" spans="1:14" s="78" customFormat="1" ht="12.75" x14ac:dyDescent="0.2">
      <c r="A751" s="58"/>
      <c r="B751" s="377">
        <v>58341341</v>
      </c>
      <c r="C751" s="422" t="s">
        <v>446</v>
      </c>
      <c r="D751" s="10" t="s">
        <v>16</v>
      </c>
      <c r="E751" s="148"/>
      <c r="F751" s="10">
        <v>4.1260000000000003</v>
      </c>
      <c r="G751" s="62">
        <f>E751*F751</f>
        <v>0</v>
      </c>
      <c r="H751" s="62"/>
      <c r="I751" s="41"/>
      <c r="J751" s="42"/>
      <c r="K751" s="65"/>
      <c r="L751" s="199"/>
      <c r="N751" s="9"/>
    </row>
    <row r="752" spans="1:14" s="78" customFormat="1" ht="12.75" x14ac:dyDescent="0.2">
      <c r="A752" s="58"/>
      <c r="B752" s="377"/>
      <c r="C752" s="422" t="s">
        <v>442</v>
      </c>
      <c r="D752" s="10"/>
      <c r="E752" s="141"/>
      <c r="F752" s="10"/>
      <c r="G752" s="62"/>
      <c r="H752" s="62"/>
      <c r="I752" s="41"/>
      <c r="J752" s="42"/>
      <c r="K752" s="65"/>
      <c r="L752" s="199"/>
      <c r="N752" s="9"/>
    </row>
    <row r="753" spans="1:14" s="78" customFormat="1" ht="12.75" x14ac:dyDescent="0.2">
      <c r="A753" s="58"/>
      <c r="B753" s="377">
        <v>58343810</v>
      </c>
      <c r="C753" s="422" t="s">
        <v>447</v>
      </c>
      <c r="D753" s="10" t="s">
        <v>16</v>
      </c>
      <c r="E753" s="148"/>
      <c r="F753" s="10">
        <v>0.26</v>
      </c>
      <c r="G753" s="62">
        <f>E753*F753</f>
        <v>0</v>
      </c>
      <c r="H753" s="62"/>
      <c r="I753" s="41"/>
      <c r="J753" s="42"/>
      <c r="K753" s="65"/>
      <c r="L753" s="27"/>
      <c r="N753" s="9"/>
    </row>
    <row r="754" spans="1:14" s="78" customFormat="1" ht="12.75" x14ac:dyDescent="0.2">
      <c r="A754" s="58"/>
      <c r="B754" s="377"/>
      <c r="C754" s="422" t="s">
        <v>444</v>
      </c>
      <c r="D754" s="10"/>
      <c r="E754" s="141"/>
      <c r="F754" s="10"/>
      <c r="G754" s="62"/>
      <c r="H754" s="62"/>
      <c r="I754" s="41"/>
      <c r="J754" s="42"/>
      <c r="K754" s="65"/>
      <c r="L754" s="27"/>
      <c r="N754" s="9"/>
    </row>
    <row r="755" spans="1:14" s="78" customFormat="1" ht="12.75" x14ac:dyDescent="0.2">
      <c r="A755" s="58"/>
      <c r="B755" s="377"/>
      <c r="C755" s="422" t="s">
        <v>445</v>
      </c>
      <c r="D755" s="10"/>
      <c r="E755" s="141"/>
      <c r="F755" s="10"/>
      <c r="G755" s="62"/>
      <c r="H755" s="62"/>
      <c r="I755" s="41"/>
      <c r="J755" s="42"/>
      <c r="K755" s="65"/>
      <c r="L755" s="27"/>
      <c r="N755" s="9"/>
    </row>
    <row r="756" spans="1:14" s="78" customFormat="1" ht="12.75" x14ac:dyDescent="0.2">
      <c r="A756" s="58"/>
      <c r="B756" s="377">
        <v>58128333</v>
      </c>
      <c r="C756" s="422" t="s">
        <v>448</v>
      </c>
      <c r="D756" s="10" t="s">
        <v>16</v>
      </c>
      <c r="E756" s="148"/>
      <c r="F756" s="10">
        <v>0.26</v>
      </c>
      <c r="G756" s="62">
        <f>E756*F756</f>
        <v>0</v>
      </c>
      <c r="H756" s="62"/>
      <c r="I756" s="41"/>
      <c r="J756" s="42"/>
      <c r="K756" s="65"/>
      <c r="L756" s="27"/>
      <c r="N756" s="9"/>
    </row>
    <row r="757" spans="1:14" s="78" customFormat="1" ht="12.75" x14ac:dyDescent="0.2">
      <c r="A757" s="58"/>
      <c r="B757" s="377"/>
      <c r="C757" s="422" t="s">
        <v>443</v>
      </c>
      <c r="D757" s="10"/>
      <c r="E757" s="141"/>
      <c r="F757" s="10"/>
      <c r="G757" s="62"/>
      <c r="H757" s="62"/>
      <c r="I757" s="41"/>
      <c r="J757" s="42"/>
      <c r="K757" s="65"/>
      <c r="L757" s="27"/>
      <c r="N757" s="9"/>
    </row>
    <row r="758" spans="1:14" s="78" customFormat="1" ht="12.75" x14ac:dyDescent="0.2">
      <c r="A758" s="58"/>
      <c r="B758" s="377">
        <v>182911122</v>
      </c>
      <c r="C758" s="422" t="s">
        <v>449</v>
      </c>
      <c r="D758" s="10" t="s">
        <v>66</v>
      </c>
      <c r="E758" s="148"/>
      <c r="F758" s="10">
        <v>3.96</v>
      </c>
      <c r="G758" s="62"/>
      <c r="H758" s="62">
        <f>E758*F758</f>
        <v>0</v>
      </c>
      <c r="I758" s="41"/>
      <c r="J758" s="42"/>
      <c r="K758" s="65"/>
      <c r="L758" s="27"/>
      <c r="N758" s="9"/>
    </row>
    <row r="759" spans="1:14" s="78" customFormat="1" ht="38.25" x14ac:dyDescent="0.2">
      <c r="A759" s="58"/>
      <c r="B759" s="377"/>
      <c r="C759" s="414" t="s">
        <v>706</v>
      </c>
      <c r="D759" s="10"/>
      <c r="E759" s="141"/>
      <c r="F759" s="10"/>
      <c r="G759" s="62"/>
      <c r="H759" s="62"/>
      <c r="I759" s="41"/>
      <c r="J759" s="42"/>
      <c r="K759" s="65"/>
      <c r="L759" s="27"/>
      <c r="N759" s="9"/>
    </row>
    <row r="760" spans="1:14" s="78" customFormat="1" ht="12.75" x14ac:dyDescent="0.2">
      <c r="A760" s="58"/>
      <c r="B760" s="377"/>
      <c r="C760" s="422" t="s">
        <v>675</v>
      </c>
      <c r="D760" s="10"/>
      <c r="E760" s="141"/>
      <c r="F760" s="10"/>
      <c r="G760" s="62"/>
      <c r="H760" s="62"/>
      <c r="I760" s="41"/>
      <c r="J760" s="42"/>
      <c r="K760" s="65"/>
      <c r="L760" s="27"/>
      <c r="N760" s="9"/>
    </row>
    <row r="761" spans="1:14" s="78" customFormat="1" ht="12.75" x14ac:dyDescent="0.2">
      <c r="A761" s="58"/>
      <c r="B761" s="377">
        <v>2</v>
      </c>
      <c r="C761" s="422" t="s">
        <v>450</v>
      </c>
      <c r="D761" s="10"/>
      <c r="E761" s="141"/>
      <c r="F761" s="10"/>
      <c r="G761" s="62"/>
      <c r="H761" s="62"/>
      <c r="I761" s="41"/>
      <c r="J761" s="42"/>
      <c r="K761" s="65"/>
      <c r="L761" s="27"/>
      <c r="N761" s="9"/>
    </row>
    <row r="762" spans="1:14" s="9" customFormat="1" ht="25.5" x14ac:dyDescent="0.2">
      <c r="A762" s="58"/>
      <c r="B762" s="377">
        <v>211971110</v>
      </c>
      <c r="C762" s="422" t="s">
        <v>451</v>
      </c>
      <c r="D762" s="10" t="s">
        <v>66</v>
      </c>
      <c r="E762" s="141"/>
      <c r="F762" s="10">
        <v>1</v>
      </c>
      <c r="G762" s="62"/>
      <c r="H762" s="62">
        <f>E762*F762</f>
        <v>0</v>
      </c>
      <c r="I762" s="41"/>
      <c r="J762" s="42"/>
      <c r="K762" s="65"/>
      <c r="L762" s="27"/>
    </row>
    <row r="763" spans="1:14" s="9" customFormat="1" ht="25.5" x14ac:dyDescent="0.2">
      <c r="A763" s="58"/>
      <c r="B763" s="377"/>
      <c r="C763" s="422" t="s">
        <v>439</v>
      </c>
      <c r="D763" s="10"/>
      <c r="E763" s="141"/>
      <c r="F763" s="10"/>
      <c r="G763" s="62"/>
      <c r="H763" s="62"/>
      <c r="I763" s="41"/>
      <c r="J763" s="42"/>
      <c r="K763" s="65"/>
      <c r="L763" s="27"/>
    </row>
    <row r="764" spans="1:14" s="9" customFormat="1" ht="12.75" x14ac:dyDescent="0.2">
      <c r="A764" s="58"/>
      <c r="B764" s="377">
        <v>69311172</v>
      </c>
      <c r="C764" s="422" t="s">
        <v>452</v>
      </c>
      <c r="D764" s="10" t="s">
        <v>66</v>
      </c>
      <c r="E764" s="141"/>
      <c r="F764" s="10">
        <v>1.1499999999999999</v>
      </c>
      <c r="G764" s="62">
        <f>E764*F764</f>
        <v>0</v>
      </c>
      <c r="H764" s="62"/>
      <c r="I764" s="41"/>
      <c r="J764" s="42"/>
      <c r="K764" s="65"/>
      <c r="L764" s="27"/>
    </row>
    <row r="765" spans="1:14" s="78" customFormat="1" ht="25.5" x14ac:dyDescent="0.2">
      <c r="A765" s="58"/>
      <c r="B765" s="377">
        <v>271532212</v>
      </c>
      <c r="C765" s="422" t="s">
        <v>453</v>
      </c>
      <c r="D765" s="10" t="s">
        <v>39</v>
      </c>
      <c r="E765" s="148"/>
      <c r="F765" s="10">
        <v>0.56999999999999995</v>
      </c>
      <c r="G765" s="62"/>
      <c r="H765" s="62">
        <f>E765*F765</f>
        <v>0</v>
      </c>
      <c r="I765" s="41"/>
      <c r="J765" s="42"/>
      <c r="K765" s="65"/>
      <c r="L765" s="27"/>
      <c r="N765" s="9"/>
    </row>
    <row r="766" spans="1:14" s="78" customFormat="1" ht="12.75" x14ac:dyDescent="0.2">
      <c r="A766" s="58"/>
      <c r="B766" s="377"/>
      <c r="C766" s="422" t="s">
        <v>454</v>
      </c>
      <c r="D766" s="10"/>
      <c r="E766" s="141"/>
      <c r="F766" s="10"/>
      <c r="G766" s="62"/>
      <c r="H766" s="62"/>
      <c r="I766" s="41"/>
      <c r="J766" s="42"/>
      <c r="K766" s="65"/>
      <c r="L766" s="27"/>
      <c r="N766" s="9"/>
    </row>
    <row r="767" spans="1:14" s="78" customFormat="1" ht="12.75" x14ac:dyDescent="0.2">
      <c r="A767" s="58"/>
      <c r="B767" s="377">
        <v>998</v>
      </c>
      <c r="C767" s="422" t="s">
        <v>455</v>
      </c>
      <c r="D767" s="10"/>
      <c r="E767" s="141"/>
      <c r="F767" s="10"/>
      <c r="G767" s="62"/>
      <c r="H767" s="62"/>
      <c r="I767" s="41"/>
      <c r="J767" s="42"/>
      <c r="K767" s="65"/>
      <c r="L767" s="27"/>
      <c r="N767" s="9"/>
    </row>
    <row r="768" spans="1:14" s="78" customFormat="1" ht="25.5" x14ac:dyDescent="0.2">
      <c r="A768" s="58"/>
      <c r="B768" s="380">
        <v>998231411</v>
      </c>
      <c r="C768" s="425" t="s">
        <v>456</v>
      </c>
      <c r="D768" s="13" t="s">
        <v>16</v>
      </c>
      <c r="E768" s="183"/>
      <c r="F768" s="13">
        <v>6.1180000000000003</v>
      </c>
      <c r="G768" s="120"/>
      <c r="H768" s="120">
        <f>E768*F768</f>
        <v>0</v>
      </c>
      <c r="I768" s="238"/>
      <c r="J768" s="206"/>
      <c r="K768" s="138"/>
      <c r="L768" s="27"/>
      <c r="N768" s="9"/>
    </row>
    <row r="769" spans="1:14" s="78" customFormat="1" ht="12.75" x14ac:dyDescent="0.2">
      <c r="A769" s="58"/>
      <c r="B769" s="382"/>
      <c r="C769" s="422"/>
      <c r="D769" s="112"/>
      <c r="E769" s="227"/>
      <c r="F769" s="112"/>
      <c r="G769" s="228"/>
      <c r="H769" s="228"/>
      <c r="I769" s="228"/>
      <c r="J769" s="228"/>
      <c r="K769" s="65"/>
      <c r="L769" s="27"/>
      <c r="N769" s="9"/>
    </row>
    <row r="770" spans="1:14" s="28" customFormat="1" ht="25.5" x14ac:dyDescent="0.2">
      <c r="A770" s="22"/>
      <c r="B770" s="375" t="s">
        <v>18</v>
      </c>
      <c r="C770" s="412" t="s">
        <v>19</v>
      </c>
      <c r="D770" s="23"/>
      <c r="E770" s="23" t="s">
        <v>20</v>
      </c>
      <c r="F770" s="246"/>
      <c r="G770" s="25" t="s">
        <v>323</v>
      </c>
      <c r="H770" s="25" t="s">
        <v>23</v>
      </c>
      <c r="I770" s="26" t="s">
        <v>24</v>
      </c>
      <c r="J770" s="26" t="s">
        <v>25</v>
      </c>
      <c r="K770" s="25" t="s">
        <v>26</v>
      </c>
      <c r="L770" s="27"/>
      <c r="N770" s="9"/>
    </row>
    <row r="771" spans="1:14" s="9" customFormat="1" ht="12.75" x14ac:dyDescent="0.2">
      <c r="A771" s="58"/>
      <c r="B771" s="376" t="s">
        <v>469</v>
      </c>
      <c r="C771" s="413" t="s">
        <v>470</v>
      </c>
      <c r="D771" s="30"/>
      <c r="E771" s="247"/>
      <c r="F771" s="216"/>
      <c r="G771" s="140"/>
      <c r="H771" s="140"/>
      <c r="I771" s="140"/>
      <c r="J771" s="140"/>
      <c r="K771" s="34"/>
      <c r="L771" s="8"/>
    </row>
    <row r="772" spans="1:14" s="9" customFormat="1" ht="12.75" x14ac:dyDescent="0.2">
      <c r="A772" s="58"/>
      <c r="B772" s="376" t="s">
        <v>471</v>
      </c>
      <c r="C772" s="413" t="s">
        <v>472</v>
      </c>
      <c r="D772" s="30" t="s">
        <v>269</v>
      </c>
      <c r="E772" s="139">
        <f>I772/F772</f>
        <v>0</v>
      </c>
      <c r="F772" s="216">
        <v>1650</v>
      </c>
      <c r="G772" s="140">
        <f>SUM(G773:G774)</f>
        <v>0</v>
      </c>
      <c r="H772" s="140">
        <f>SUM(H773:H774)</f>
        <v>0</v>
      </c>
      <c r="I772" s="140">
        <f>H772+G772</f>
        <v>0</v>
      </c>
      <c r="J772" s="140">
        <f>I772/100*21</f>
        <v>0</v>
      </c>
      <c r="K772" s="34">
        <f>J772+I772</f>
        <v>0</v>
      </c>
      <c r="L772" s="8"/>
    </row>
    <row r="773" spans="1:14" s="9" customFormat="1" ht="25.5" x14ac:dyDescent="0.2">
      <c r="A773" s="58"/>
      <c r="B773" s="386">
        <v>184813211</v>
      </c>
      <c r="C773" s="431" t="s">
        <v>473</v>
      </c>
      <c r="D773" s="248" t="s">
        <v>39</v>
      </c>
      <c r="E773" s="249"/>
      <c r="F773" s="250">
        <f>F772</f>
        <v>1650</v>
      </c>
      <c r="G773" s="251"/>
      <c r="H773" s="251">
        <f>E773*F773</f>
        <v>0</v>
      </c>
      <c r="I773" s="252"/>
      <c r="J773" s="253"/>
      <c r="K773" s="254"/>
      <c r="L773" s="8"/>
    </row>
    <row r="774" spans="1:14" s="9" customFormat="1" ht="12.75" x14ac:dyDescent="0.2">
      <c r="A774" s="58"/>
      <c r="B774" s="382"/>
      <c r="C774" s="422"/>
      <c r="D774" s="112"/>
      <c r="E774" s="227"/>
      <c r="F774" s="112"/>
      <c r="G774" s="228"/>
      <c r="H774" s="228"/>
      <c r="I774" s="228"/>
      <c r="J774" s="228"/>
      <c r="K774" s="65"/>
      <c r="L774" s="8"/>
    </row>
    <row r="775" spans="1:14" s="28" customFormat="1" ht="25.5" x14ac:dyDescent="0.2">
      <c r="A775" s="22"/>
      <c r="B775" s="375" t="s">
        <v>18</v>
      </c>
      <c r="C775" s="412" t="s">
        <v>19</v>
      </c>
      <c r="D775" s="23"/>
      <c r="E775" s="255" t="s">
        <v>20</v>
      </c>
      <c r="F775" s="256"/>
      <c r="G775" s="25" t="s">
        <v>323</v>
      </c>
      <c r="H775" s="25" t="s">
        <v>23</v>
      </c>
      <c r="I775" s="26" t="s">
        <v>24</v>
      </c>
      <c r="J775" s="26" t="s">
        <v>25</v>
      </c>
      <c r="K775" s="25" t="s">
        <v>26</v>
      </c>
      <c r="L775" s="8"/>
      <c r="N775" s="9"/>
    </row>
    <row r="776" spans="1:14" s="9" customFormat="1" ht="12.75" x14ac:dyDescent="0.2">
      <c r="A776" s="58"/>
      <c r="B776" s="376" t="s">
        <v>474</v>
      </c>
      <c r="C776" s="413" t="s">
        <v>475</v>
      </c>
      <c r="D776" s="30" t="s">
        <v>66</v>
      </c>
      <c r="E776" s="139">
        <f>I776/F776</f>
        <v>0</v>
      </c>
      <c r="F776" s="216">
        <v>462</v>
      </c>
      <c r="G776" s="140">
        <f>SUM(G777:G783)</f>
        <v>0</v>
      </c>
      <c r="H776" s="140">
        <f>SUM(H777:H783)</f>
        <v>0</v>
      </c>
      <c r="I776" s="140">
        <f>H776+G776</f>
        <v>0</v>
      </c>
      <c r="J776" s="140">
        <f>I776/100*21</f>
        <v>0</v>
      </c>
      <c r="K776" s="34">
        <f>J776+I776</f>
        <v>0</v>
      </c>
      <c r="L776" s="8"/>
    </row>
    <row r="777" spans="1:14" s="9" customFormat="1" ht="38.25" x14ac:dyDescent="0.2">
      <c r="A777" s="58"/>
      <c r="B777" s="382" t="s">
        <v>18</v>
      </c>
      <c r="C777" s="422" t="s">
        <v>476</v>
      </c>
      <c r="D777" s="112"/>
      <c r="E777" s="134"/>
      <c r="F777" s="132"/>
      <c r="G777" s="61"/>
      <c r="H777" s="61"/>
      <c r="I777" s="63"/>
      <c r="J777" s="64"/>
      <c r="K777" s="65"/>
      <c r="L777" s="8"/>
    </row>
    <row r="778" spans="1:14" s="9" customFormat="1" ht="78.75" x14ac:dyDescent="0.2">
      <c r="A778" s="58"/>
      <c r="B778" s="382" t="s">
        <v>18</v>
      </c>
      <c r="C778" s="422" t="s">
        <v>707</v>
      </c>
      <c r="D778" s="112"/>
      <c r="E778" s="134"/>
      <c r="F778" s="132"/>
      <c r="G778" s="61"/>
      <c r="H778" s="61"/>
      <c r="I778" s="63"/>
      <c r="J778" s="64"/>
      <c r="K778" s="65"/>
      <c r="L778" s="8"/>
    </row>
    <row r="779" spans="1:14" s="9" customFormat="1" ht="12.75" x14ac:dyDescent="0.2">
      <c r="A779" s="58"/>
      <c r="B779" s="382">
        <v>919726122</v>
      </c>
      <c r="C779" s="422" t="s">
        <v>477</v>
      </c>
      <c r="D779" s="112" t="s">
        <v>66</v>
      </c>
      <c r="E779" s="134"/>
      <c r="F779" s="131">
        <f>F776</f>
        <v>462</v>
      </c>
      <c r="G779" s="61"/>
      <c r="H779" s="61">
        <f>F779*E779</f>
        <v>0</v>
      </c>
      <c r="I779" s="63"/>
      <c r="J779" s="64"/>
      <c r="K779" s="65"/>
      <c r="L779" s="8"/>
    </row>
    <row r="780" spans="1:14" s="9" customFormat="1" ht="12.75" x14ac:dyDescent="0.2">
      <c r="A780" s="58"/>
      <c r="B780" s="382"/>
      <c r="C780" s="422" t="s">
        <v>478</v>
      </c>
      <c r="D780" s="112"/>
      <c r="E780" s="134"/>
      <c r="F780" s="132"/>
      <c r="G780" s="61"/>
      <c r="H780" s="61"/>
      <c r="I780" s="63"/>
      <c r="J780" s="64"/>
      <c r="K780" s="65"/>
      <c r="L780" s="8"/>
    </row>
    <row r="781" spans="1:14" s="9" customFormat="1" ht="12.75" x14ac:dyDescent="0.2">
      <c r="A781" s="58"/>
      <c r="B781" s="382">
        <v>171203111</v>
      </c>
      <c r="C781" s="422" t="s">
        <v>479</v>
      </c>
      <c r="D781" s="112" t="s">
        <v>39</v>
      </c>
      <c r="E781" s="160"/>
      <c r="F781" s="132">
        <f>F782</f>
        <v>6.93</v>
      </c>
      <c r="G781" s="61"/>
      <c r="H781" s="61">
        <f t="shared" ref="H781" si="9">F781*E781</f>
        <v>0</v>
      </c>
      <c r="I781" s="63"/>
      <c r="J781" s="64"/>
      <c r="K781" s="65"/>
      <c r="L781" s="8"/>
    </row>
    <row r="782" spans="1:14" s="9" customFormat="1" ht="12.75" x14ac:dyDescent="0.2">
      <c r="A782" s="58"/>
      <c r="B782" s="382" t="s">
        <v>34</v>
      </c>
      <c r="C782" s="422" t="s">
        <v>480</v>
      </c>
      <c r="D782" s="112" t="s">
        <v>39</v>
      </c>
      <c r="E782" s="160"/>
      <c r="F782" s="132">
        <f>F776*0.015</f>
        <v>6.93</v>
      </c>
      <c r="G782" s="61">
        <f>F782*E782</f>
        <v>0</v>
      </c>
      <c r="H782" s="61"/>
      <c r="I782" s="63"/>
      <c r="J782" s="64"/>
      <c r="K782" s="65"/>
      <c r="L782" s="8"/>
    </row>
    <row r="783" spans="1:14" s="9" customFormat="1" ht="12.75" x14ac:dyDescent="0.2">
      <c r="A783" s="205"/>
      <c r="B783" s="385" t="s">
        <v>34</v>
      </c>
      <c r="C783" s="425" t="s">
        <v>481</v>
      </c>
      <c r="D783" s="164" t="s">
        <v>66</v>
      </c>
      <c r="E783" s="257"/>
      <c r="F783" s="258">
        <f>F776</f>
        <v>462</v>
      </c>
      <c r="G783" s="398">
        <f>F783*E783</f>
        <v>0</v>
      </c>
      <c r="H783" s="398"/>
      <c r="I783" s="136"/>
      <c r="J783" s="137"/>
      <c r="K783" s="138"/>
      <c r="L783" s="8"/>
    </row>
    <row r="784" spans="1:14" s="240" customFormat="1" ht="25.5" x14ac:dyDescent="0.2">
      <c r="A784" s="37"/>
      <c r="B784" s="375" t="s">
        <v>18</v>
      </c>
      <c r="C784" s="412" t="s">
        <v>19</v>
      </c>
      <c r="D784" s="24"/>
      <c r="E784" s="239" t="s">
        <v>20</v>
      </c>
      <c r="F784" s="24" t="s">
        <v>21</v>
      </c>
      <c r="G784" s="25" t="s">
        <v>323</v>
      </c>
      <c r="H784" s="25" t="s">
        <v>23</v>
      </c>
      <c r="I784" s="26" t="s">
        <v>24</v>
      </c>
      <c r="J784" s="26" t="s">
        <v>25</v>
      </c>
      <c r="K784" s="25" t="s">
        <v>26</v>
      </c>
      <c r="L784" s="199"/>
      <c r="N784" s="9"/>
    </row>
    <row r="785" spans="1:14" s="9" customFormat="1" ht="22.5" x14ac:dyDescent="0.2">
      <c r="A785" s="58"/>
      <c r="B785" s="376" t="s">
        <v>457</v>
      </c>
      <c r="C785" s="413" t="s">
        <v>455</v>
      </c>
      <c r="D785" s="30" t="s">
        <v>408</v>
      </c>
      <c r="E785" s="139">
        <f>I785/F785</f>
        <v>0</v>
      </c>
      <c r="F785" s="216">
        <f>F786+F787</f>
        <v>129.30000000000001</v>
      </c>
      <c r="G785" s="140">
        <f>SUM(G788:G790)</f>
        <v>0</v>
      </c>
      <c r="H785" s="140">
        <f>SUM(H788:H790)</f>
        <v>0</v>
      </c>
      <c r="I785" s="140">
        <f>H785+G785</f>
        <v>0</v>
      </c>
      <c r="J785" s="140">
        <f>I785/100*21</f>
        <v>0</v>
      </c>
      <c r="K785" s="34">
        <f>J785+I785</f>
        <v>0</v>
      </c>
      <c r="L785" s="8"/>
    </row>
    <row r="786" spans="1:14" s="78" customFormat="1" ht="12.75" x14ac:dyDescent="0.2">
      <c r="A786" s="58"/>
      <c r="B786" s="382"/>
      <c r="C786" s="422" t="s">
        <v>458</v>
      </c>
      <c r="D786" s="112"/>
      <c r="E786" s="178"/>
      <c r="F786" s="241">
        <v>38.799999999999997</v>
      </c>
      <c r="G786" s="61"/>
      <c r="H786" s="61"/>
      <c r="I786" s="63"/>
      <c r="J786" s="64"/>
      <c r="K786" s="65"/>
      <c r="L786" s="27"/>
      <c r="N786" s="9"/>
    </row>
    <row r="787" spans="1:14" s="78" customFormat="1" ht="12.75" x14ac:dyDescent="0.2">
      <c r="A787" s="58"/>
      <c r="B787" s="382"/>
      <c r="C787" s="422" t="s">
        <v>459</v>
      </c>
      <c r="D787" s="112"/>
      <c r="E787" s="178"/>
      <c r="F787" s="241">
        <v>90.5</v>
      </c>
      <c r="G787" s="61"/>
      <c r="H787" s="61"/>
      <c r="I787" s="63"/>
      <c r="J787" s="64"/>
      <c r="K787" s="65"/>
      <c r="L787" s="27"/>
      <c r="N787" s="9"/>
    </row>
    <row r="788" spans="1:14" s="78" customFormat="1" ht="15" x14ac:dyDescent="0.2">
      <c r="A788" s="58"/>
      <c r="B788" s="382" t="s">
        <v>32</v>
      </c>
      <c r="C788" s="422" t="s">
        <v>460</v>
      </c>
      <c r="D788" s="112" t="s">
        <v>408</v>
      </c>
      <c r="E788" s="178"/>
      <c r="F788" s="241">
        <f>F785</f>
        <v>129.30000000000001</v>
      </c>
      <c r="G788" s="61"/>
      <c r="H788" s="61">
        <f>F788*E788</f>
        <v>0</v>
      </c>
      <c r="I788" s="63"/>
      <c r="J788" s="64"/>
      <c r="K788" s="65"/>
      <c r="L788" s="27"/>
      <c r="N788" s="9"/>
    </row>
    <row r="789" spans="1:14" s="78" customFormat="1" ht="12.75" x14ac:dyDescent="0.2">
      <c r="A789" s="58"/>
      <c r="B789" s="382" t="s">
        <v>90</v>
      </c>
      <c r="C789" s="422" t="s">
        <v>290</v>
      </c>
      <c r="D789" s="112" t="s">
        <v>39</v>
      </c>
      <c r="E789" s="178"/>
      <c r="F789" s="241">
        <f>F786</f>
        <v>38.799999999999997</v>
      </c>
      <c r="G789" s="61">
        <f>E789*F789</f>
        <v>0</v>
      </c>
      <c r="H789" s="61"/>
      <c r="I789" s="63"/>
      <c r="J789" s="64"/>
      <c r="K789" s="65"/>
      <c r="L789" s="27"/>
      <c r="N789" s="9"/>
    </row>
    <row r="790" spans="1:14" s="133" customFormat="1" ht="15" x14ac:dyDescent="0.2">
      <c r="A790" s="58"/>
      <c r="B790" s="380">
        <v>171203111</v>
      </c>
      <c r="C790" s="410" t="s">
        <v>461</v>
      </c>
      <c r="D790" s="11" t="s">
        <v>408</v>
      </c>
      <c r="E790" s="215"/>
      <c r="F790" s="242">
        <f>F787</f>
        <v>90.5</v>
      </c>
      <c r="G790" s="120"/>
      <c r="H790" s="243">
        <f>F790*E790</f>
        <v>0</v>
      </c>
      <c r="I790" s="155"/>
      <c r="J790" s="121"/>
      <c r="K790" s="220"/>
      <c r="L790" s="8"/>
      <c r="N790" s="9"/>
    </row>
    <row r="791" spans="1:14" s="78" customFormat="1" ht="12.75" x14ac:dyDescent="0.2">
      <c r="A791" s="58"/>
      <c r="B791" s="382"/>
      <c r="C791" s="422"/>
      <c r="D791" s="112"/>
      <c r="E791" s="227"/>
      <c r="F791" s="112"/>
      <c r="G791" s="228"/>
      <c r="H791" s="228"/>
      <c r="I791" s="228"/>
      <c r="J791" s="228"/>
      <c r="K791" s="65"/>
      <c r="L791" s="27"/>
      <c r="N791" s="9"/>
    </row>
    <row r="792" spans="1:14" s="244" customFormat="1" ht="25.5" x14ac:dyDescent="0.2">
      <c r="A792" s="22"/>
      <c r="B792" s="375" t="s">
        <v>18</v>
      </c>
      <c r="C792" s="412" t="s">
        <v>19</v>
      </c>
      <c r="D792" s="23"/>
      <c r="E792" s="23" t="s">
        <v>20</v>
      </c>
      <c r="F792" s="24" t="s">
        <v>21</v>
      </c>
      <c r="G792" s="25" t="s">
        <v>323</v>
      </c>
      <c r="H792" s="25" t="s">
        <v>23</v>
      </c>
      <c r="I792" s="26" t="s">
        <v>24</v>
      </c>
      <c r="J792" s="26" t="s">
        <v>25</v>
      </c>
      <c r="K792" s="25" t="s">
        <v>26</v>
      </c>
      <c r="L792" s="199"/>
      <c r="N792" s="9"/>
    </row>
    <row r="793" spans="1:14" s="9" customFormat="1" ht="22.5" x14ac:dyDescent="0.2">
      <c r="A793" s="58"/>
      <c r="B793" s="376" t="s">
        <v>462</v>
      </c>
      <c r="C793" s="413" t="s">
        <v>463</v>
      </c>
      <c r="D793" s="30" t="s">
        <v>408</v>
      </c>
      <c r="E793" s="139">
        <f>I793/F793</f>
        <v>0</v>
      </c>
      <c r="F793" s="216">
        <v>383.5</v>
      </c>
      <c r="G793" s="140">
        <f>SUM(G794:G795)</f>
        <v>0</v>
      </c>
      <c r="H793" s="140">
        <f>SUM(H794:H795)</f>
        <v>0</v>
      </c>
      <c r="I793" s="140">
        <f>H793+G793</f>
        <v>0</v>
      </c>
      <c r="J793" s="140">
        <f>I793/100*21</f>
        <v>0</v>
      </c>
      <c r="K793" s="34">
        <f>J793+I793</f>
        <v>0</v>
      </c>
      <c r="L793" s="8"/>
    </row>
    <row r="794" spans="1:14" s="78" customFormat="1" ht="22.5" x14ac:dyDescent="0.2">
      <c r="A794" s="29"/>
      <c r="B794" s="382" t="s">
        <v>464</v>
      </c>
      <c r="C794" s="422" t="s">
        <v>465</v>
      </c>
      <c r="D794" s="161" t="s">
        <v>408</v>
      </c>
      <c r="E794" s="209"/>
      <c r="F794" s="201">
        <f>F793</f>
        <v>383.5</v>
      </c>
      <c r="G794" s="40"/>
      <c r="H794" s="40">
        <f>F794*E794</f>
        <v>0</v>
      </c>
      <c r="I794" s="41"/>
      <c r="J794" s="42"/>
      <c r="K794" s="84"/>
      <c r="L794" s="8"/>
      <c r="N794" s="9"/>
    </row>
    <row r="795" spans="1:14" s="78" customFormat="1" ht="12.75" x14ac:dyDescent="0.2">
      <c r="A795" s="205"/>
      <c r="B795" s="385" t="s">
        <v>90</v>
      </c>
      <c r="C795" s="425" t="s">
        <v>290</v>
      </c>
      <c r="D795" s="164" t="s">
        <v>39</v>
      </c>
      <c r="E795" s="215"/>
      <c r="F795" s="164">
        <f>F793*0.002</f>
        <v>0.76700000000000002</v>
      </c>
      <c r="G795" s="119">
        <f>E795*F795</f>
        <v>0</v>
      </c>
      <c r="H795" s="119"/>
      <c r="I795" s="136"/>
      <c r="J795" s="137"/>
      <c r="K795" s="138"/>
      <c r="L795" s="8"/>
      <c r="N795" s="9"/>
    </row>
    <row r="796" spans="1:14" s="78" customFormat="1" ht="12.75" x14ac:dyDescent="0.2">
      <c r="A796" s="58"/>
      <c r="B796" s="382"/>
      <c r="C796" s="422"/>
      <c r="D796" s="112"/>
      <c r="E796" s="227"/>
      <c r="F796" s="112"/>
      <c r="G796" s="228"/>
      <c r="H796" s="228"/>
      <c r="I796" s="228"/>
      <c r="J796" s="228"/>
      <c r="K796" s="65"/>
      <c r="L796" s="8"/>
      <c r="N796" s="9"/>
    </row>
    <row r="797" spans="1:14" s="244" customFormat="1" ht="25.5" x14ac:dyDescent="0.2">
      <c r="A797" s="22"/>
      <c r="B797" s="375" t="s">
        <v>18</v>
      </c>
      <c r="C797" s="412" t="s">
        <v>19</v>
      </c>
      <c r="D797" s="23"/>
      <c r="E797" s="23" t="s">
        <v>20</v>
      </c>
      <c r="F797" s="24" t="s">
        <v>21</v>
      </c>
      <c r="G797" s="25" t="s">
        <v>323</v>
      </c>
      <c r="H797" s="25" t="s">
        <v>23</v>
      </c>
      <c r="I797" s="26" t="s">
        <v>24</v>
      </c>
      <c r="J797" s="26" t="s">
        <v>25</v>
      </c>
      <c r="K797" s="25" t="s">
        <v>26</v>
      </c>
      <c r="L797" s="199"/>
      <c r="N797" s="9"/>
    </row>
    <row r="798" spans="1:14" s="9" customFormat="1" ht="22.5" x14ac:dyDescent="0.2">
      <c r="A798" s="58"/>
      <c r="B798" s="376" t="s">
        <v>466</v>
      </c>
      <c r="C798" s="413" t="s">
        <v>467</v>
      </c>
      <c r="D798" s="30" t="s">
        <v>408</v>
      </c>
      <c r="E798" s="139">
        <f>I798/F798</f>
        <v>0</v>
      </c>
      <c r="F798" s="216">
        <f>SUM(F801:F810)</f>
        <v>11.6088</v>
      </c>
      <c r="G798" s="140">
        <f>SUM(G799:G811)</f>
        <v>0</v>
      </c>
      <c r="H798" s="140">
        <f>SUM(H799:H811)</f>
        <v>0</v>
      </c>
      <c r="I798" s="140">
        <f>H798+G798</f>
        <v>0</v>
      </c>
      <c r="J798" s="140">
        <f>I798/100*21</f>
        <v>0</v>
      </c>
      <c r="K798" s="34">
        <f>J798+I798</f>
        <v>0</v>
      </c>
      <c r="L798" s="8"/>
    </row>
    <row r="799" spans="1:14" s="78" customFormat="1" ht="15" x14ac:dyDescent="0.2">
      <c r="A799" s="29"/>
      <c r="B799" s="382" t="s">
        <v>32</v>
      </c>
      <c r="C799" s="422" t="s">
        <v>460</v>
      </c>
      <c r="D799" s="112" t="s">
        <v>408</v>
      </c>
      <c r="E799" s="178"/>
      <c r="F799" s="201">
        <f>F798</f>
        <v>11.6088</v>
      </c>
      <c r="G799" s="40"/>
      <c r="H799" s="40">
        <f>F799*E799</f>
        <v>0</v>
      </c>
      <c r="I799" s="41"/>
      <c r="J799" s="42"/>
      <c r="K799" s="84"/>
      <c r="L799" s="8"/>
      <c r="N799" s="9"/>
    </row>
    <row r="800" spans="1:14" s="78" customFormat="1" ht="12.75" x14ac:dyDescent="0.2">
      <c r="A800" s="29"/>
      <c r="B800" s="382"/>
      <c r="C800" s="422" t="s">
        <v>468</v>
      </c>
      <c r="D800" s="112"/>
      <c r="E800" s="178"/>
      <c r="F800" s="201"/>
      <c r="G800" s="40"/>
      <c r="H800" s="40"/>
      <c r="I800" s="41"/>
      <c r="J800" s="42"/>
      <c r="K800" s="84"/>
      <c r="L800" s="8"/>
      <c r="N800" s="9"/>
    </row>
    <row r="801" spans="1:14" s="78" customFormat="1" ht="12.75" x14ac:dyDescent="0.2">
      <c r="A801" s="29"/>
      <c r="B801" s="384">
        <v>600</v>
      </c>
      <c r="C801" s="424">
        <v>4260</v>
      </c>
      <c r="D801" s="156">
        <v>400</v>
      </c>
      <c r="E801" s="209"/>
      <c r="F801" s="175">
        <f t="shared" ref="F801:F810" si="10">(B801*D801*C801)/1000000000</f>
        <v>1.0224</v>
      </c>
      <c r="G801" s="40"/>
      <c r="H801" s="40"/>
      <c r="I801" s="41"/>
      <c r="J801" s="42"/>
      <c r="K801" s="84"/>
      <c r="L801" s="8"/>
      <c r="N801" s="9"/>
    </row>
    <row r="802" spans="1:14" s="78" customFormat="1" ht="12.75" x14ac:dyDescent="0.2">
      <c r="A802" s="29"/>
      <c r="B802" s="382">
        <v>600</v>
      </c>
      <c r="C802" s="422">
        <v>4400</v>
      </c>
      <c r="D802" s="112">
        <v>400</v>
      </c>
      <c r="E802" s="209"/>
      <c r="F802" s="175">
        <f t="shared" si="10"/>
        <v>1.056</v>
      </c>
      <c r="G802" s="40"/>
      <c r="H802" s="40"/>
      <c r="I802" s="41"/>
      <c r="J802" s="42"/>
      <c r="K802" s="84"/>
      <c r="L802" s="8"/>
      <c r="N802" s="9"/>
    </row>
    <row r="803" spans="1:14" s="78" customFormat="1" ht="12.75" x14ac:dyDescent="0.2">
      <c r="A803" s="29"/>
      <c r="B803" s="382">
        <v>600</v>
      </c>
      <c r="C803" s="422">
        <v>2040</v>
      </c>
      <c r="D803" s="112">
        <v>400</v>
      </c>
      <c r="E803" s="209"/>
      <c r="F803" s="175">
        <f t="shared" si="10"/>
        <v>0.48959999999999998</v>
      </c>
      <c r="G803" s="40"/>
      <c r="H803" s="40"/>
      <c r="I803" s="41"/>
      <c r="J803" s="42"/>
      <c r="K803" s="84"/>
      <c r="L803" s="8"/>
      <c r="N803" s="9"/>
    </row>
    <row r="804" spans="1:14" s="78" customFormat="1" ht="12.75" x14ac:dyDescent="0.2">
      <c r="A804" s="29"/>
      <c r="B804" s="382">
        <v>600</v>
      </c>
      <c r="C804" s="422">
        <v>2060</v>
      </c>
      <c r="D804" s="112">
        <v>400</v>
      </c>
      <c r="E804" s="209"/>
      <c r="F804" s="175">
        <f t="shared" si="10"/>
        <v>0.49440000000000001</v>
      </c>
      <c r="G804" s="40"/>
      <c r="H804" s="40"/>
      <c r="I804" s="41"/>
      <c r="J804" s="42"/>
      <c r="K804" s="84"/>
      <c r="L804" s="8"/>
      <c r="N804" s="9"/>
    </row>
    <row r="805" spans="1:14" s="9" customFormat="1" ht="12.75" x14ac:dyDescent="0.2">
      <c r="A805" s="29"/>
      <c r="B805" s="382">
        <v>600</v>
      </c>
      <c r="C805" s="422">
        <v>2880</v>
      </c>
      <c r="D805" s="112">
        <v>400</v>
      </c>
      <c r="E805" s="209"/>
      <c r="F805" s="175">
        <f t="shared" si="10"/>
        <v>0.69120000000000004</v>
      </c>
      <c r="G805" s="40"/>
      <c r="H805" s="40"/>
      <c r="I805" s="41"/>
      <c r="J805" s="42"/>
      <c r="K805" s="84"/>
      <c r="L805" s="8"/>
    </row>
    <row r="806" spans="1:14" s="9" customFormat="1" ht="12.75" x14ac:dyDescent="0.2">
      <c r="A806" s="29"/>
      <c r="B806" s="382">
        <v>3000</v>
      </c>
      <c r="C806" s="422">
        <v>3000</v>
      </c>
      <c r="D806" s="112">
        <v>400</v>
      </c>
      <c r="E806" s="209"/>
      <c r="F806" s="175">
        <f t="shared" si="10"/>
        <v>3.6</v>
      </c>
      <c r="G806" s="40"/>
      <c r="H806" s="40"/>
      <c r="I806" s="41"/>
      <c r="J806" s="42"/>
      <c r="K806" s="84"/>
      <c r="L806" s="8"/>
    </row>
    <row r="807" spans="1:14" s="9" customFormat="1" ht="12.75" x14ac:dyDescent="0.2">
      <c r="A807" s="29"/>
      <c r="B807" s="382">
        <v>600</v>
      </c>
      <c r="C807" s="422">
        <v>6560</v>
      </c>
      <c r="D807" s="112">
        <v>400</v>
      </c>
      <c r="E807" s="209"/>
      <c r="F807" s="175">
        <f t="shared" si="10"/>
        <v>1.5744</v>
      </c>
      <c r="G807" s="40"/>
      <c r="H807" s="40"/>
      <c r="I807" s="41"/>
      <c r="J807" s="42"/>
      <c r="K807" s="84"/>
      <c r="L807" s="8"/>
    </row>
    <row r="808" spans="1:14" s="9" customFormat="1" ht="12.75" x14ac:dyDescent="0.2">
      <c r="A808" s="29"/>
      <c r="B808" s="382">
        <v>600</v>
      </c>
      <c r="C808" s="422">
        <v>2470</v>
      </c>
      <c r="D808" s="112">
        <v>400</v>
      </c>
      <c r="E808" s="209"/>
      <c r="F808" s="175">
        <f t="shared" si="10"/>
        <v>0.59279999999999999</v>
      </c>
      <c r="G808" s="40"/>
      <c r="H808" s="40"/>
      <c r="I808" s="41"/>
      <c r="J808" s="42"/>
      <c r="K808" s="84"/>
      <c r="L808" s="8"/>
    </row>
    <row r="809" spans="1:14" s="9" customFormat="1" ht="12.75" x14ac:dyDescent="0.2">
      <c r="A809" s="29"/>
      <c r="B809" s="382">
        <v>600</v>
      </c>
      <c r="C809" s="422">
        <v>4180</v>
      </c>
      <c r="D809" s="112">
        <v>400</v>
      </c>
      <c r="E809" s="209"/>
      <c r="F809" s="175">
        <f t="shared" si="10"/>
        <v>1.0032000000000001</v>
      </c>
      <c r="G809" s="40"/>
      <c r="H809" s="40"/>
      <c r="I809" s="41"/>
      <c r="J809" s="42"/>
      <c r="K809" s="84"/>
      <c r="L809" s="8"/>
    </row>
    <row r="810" spans="1:14" s="133" customFormat="1" ht="12.75" x14ac:dyDescent="0.2">
      <c r="A810" s="29"/>
      <c r="B810" s="385">
        <v>600</v>
      </c>
      <c r="C810" s="425">
        <v>4520</v>
      </c>
      <c r="D810" s="164">
        <v>400</v>
      </c>
      <c r="E810" s="209"/>
      <c r="F810" s="175">
        <f t="shared" si="10"/>
        <v>1.0848</v>
      </c>
      <c r="G810" s="40"/>
      <c r="H810" s="40"/>
      <c r="I810" s="41"/>
      <c r="J810" s="42"/>
      <c r="K810" s="84"/>
      <c r="L810" s="8"/>
      <c r="N810" s="9"/>
    </row>
    <row r="811" spans="1:14" s="9" customFormat="1" ht="12.75" x14ac:dyDescent="0.2">
      <c r="A811" s="205"/>
      <c r="B811" s="385" t="s">
        <v>90</v>
      </c>
      <c r="C811" s="425" t="s">
        <v>290</v>
      </c>
      <c r="D811" s="164" t="s">
        <v>39</v>
      </c>
      <c r="E811" s="215"/>
      <c r="F811" s="245">
        <f>F798</f>
        <v>11.6088</v>
      </c>
      <c r="G811" s="119">
        <f>E811*F811</f>
        <v>0</v>
      </c>
      <c r="H811" s="119"/>
      <c r="I811" s="136"/>
      <c r="J811" s="137"/>
      <c r="K811" s="138"/>
      <c r="L811" s="8"/>
    </row>
    <row r="812" spans="1:14" s="9" customFormat="1" ht="15" x14ac:dyDescent="0.2">
      <c r="A812" s="58"/>
      <c r="B812" s="382"/>
      <c r="C812" s="422"/>
      <c r="D812" s="112"/>
      <c r="E812" s="227"/>
      <c r="F812" s="241"/>
      <c r="G812" s="228"/>
      <c r="H812" s="228"/>
      <c r="I812" s="228"/>
      <c r="J812" s="228"/>
      <c r="K812" s="65"/>
      <c r="L812" s="8"/>
      <c r="N812" s="408"/>
    </row>
    <row r="813" spans="1:14" s="240" customFormat="1" ht="25.5" x14ac:dyDescent="0.2">
      <c r="A813" s="37"/>
      <c r="B813" s="375" t="s">
        <v>18</v>
      </c>
      <c r="C813" s="412" t="s">
        <v>19</v>
      </c>
      <c r="D813" s="24"/>
      <c r="E813" s="239" t="s">
        <v>20</v>
      </c>
      <c r="F813" s="24" t="s">
        <v>21</v>
      </c>
      <c r="G813" s="25" t="s">
        <v>323</v>
      </c>
      <c r="H813" s="25" t="s">
        <v>23</v>
      </c>
      <c r="I813" s="26" t="s">
        <v>24</v>
      </c>
      <c r="J813" s="26" t="s">
        <v>25</v>
      </c>
      <c r="K813" s="25" t="s">
        <v>26</v>
      </c>
      <c r="L813" s="199"/>
      <c r="N813" s="9"/>
    </row>
    <row r="814" spans="1:14" s="9" customFormat="1" ht="22.5" x14ac:dyDescent="0.2">
      <c r="A814" s="58"/>
      <c r="B814" s="376" t="s">
        <v>482</v>
      </c>
      <c r="C814" s="413" t="s">
        <v>483</v>
      </c>
      <c r="D814" s="30" t="s">
        <v>408</v>
      </c>
      <c r="E814" s="139">
        <f>I814/F814</f>
        <v>0</v>
      </c>
      <c r="F814" s="216">
        <f>4.68+10.1</f>
        <v>14.78</v>
      </c>
      <c r="G814" s="140">
        <f>SUM(G815:G815)</f>
        <v>0</v>
      </c>
      <c r="H814" s="140">
        <f>SUM(H815:H815)</f>
        <v>0</v>
      </c>
      <c r="I814" s="140">
        <f>H814+G814</f>
        <v>0</v>
      </c>
      <c r="J814" s="140">
        <f>I814/100*21</f>
        <v>0</v>
      </c>
      <c r="K814" s="34">
        <f>J814+I814</f>
        <v>0</v>
      </c>
      <c r="L814" s="8"/>
    </row>
    <row r="815" spans="1:14" s="78" customFormat="1" ht="15" x14ac:dyDescent="0.2">
      <c r="A815" s="393"/>
      <c r="B815" s="394" t="s">
        <v>32</v>
      </c>
      <c r="C815" s="432" t="s">
        <v>460</v>
      </c>
      <c r="D815" s="395" t="s">
        <v>408</v>
      </c>
      <c r="E815" s="396"/>
      <c r="F815" s="397">
        <f>F814</f>
        <v>14.78</v>
      </c>
      <c r="G815" s="398"/>
      <c r="H815" s="398">
        <f>F815*E815</f>
        <v>0</v>
      </c>
      <c r="I815" s="399"/>
      <c r="J815" s="400"/>
      <c r="K815" s="401"/>
      <c r="L815" s="27"/>
      <c r="N815" s="9"/>
    </row>
    <row r="816" spans="1:14" s="78" customFormat="1" ht="12.75" x14ac:dyDescent="0.2">
      <c r="A816" s="58"/>
      <c r="B816" s="382"/>
      <c r="C816" s="422"/>
      <c r="D816" s="112"/>
      <c r="E816" s="178"/>
      <c r="F816" s="241"/>
      <c r="G816" s="61"/>
      <c r="H816" s="61"/>
      <c r="I816" s="63"/>
      <c r="J816" s="64"/>
      <c r="K816" s="65"/>
      <c r="L816" s="27"/>
      <c r="N816" s="9"/>
    </row>
    <row r="817" spans="1:14" s="240" customFormat="1" ht="25.5" x14ac:dyDescent="0.2">
      <c r="A817" s="37"/>
      <c r="B817" s="375" t="s">
        <v>18</v>
      </c>
      <c r="C817" s="412" t="s">
        <v>19</v>
      </c>
      <c r="D817" s="24"/>
      <c r="E817" s="239" t="s">
        <v>20</v>
      </c>
      <c r="F817" s="24" t="s">
        <v>21</v>
      </c>
      <c r="G817" s="25" t="s">
        <v>323</v>
      </c>
      <c r="H817" s="25" t="s">
        <v>23</v>
      </c>
      <c r="I817" s="26" t="s">
        <v>24</v>
      </c>
      <c r="J817" s="26" t="s">
        <v>25</v>
      </c>
      <c r="K817" s="25" t="s">
        <v>26</v>
      </c>
      <c r="L817" s="199"/>
      <c r="N817" s="9"/>
    </row>
    <row r="818" spans="1:14" s="9" customFormat="1" ht="45" x14ac:dyDescent="0.2">
      <c r="A818" s="58"/>
      <c r="B818" s="376" t="s">
        <v>676</v>
      </c>
      <c r="C818" s="413" t="s">
        <v>677</v>
      </c>
      <c r="D818" s="30" t="s">
        <v>408</v>
      </c>
      <c r="E818" s="139">
        <f>I818/F818</f>
        <v>0</v>
      </c>
      <c r="F818" s="216">
        <v>20</v>
      </c>
      <c r="G818" s="140">
        <f>SUM(G819:G819)</f>
        <v>0</v>
      </c>
      <c r="H818" s="140">
        <f>SUM(H819:H819)</f>
        <v>0</v>
      </c>
      <c r="I818" s="140">
        <f>H818+G818</f>
        <v>0</v>
      </c>
      <c r="J818" s="140">
        <f>I818/100*21</f>
        <v>0</v>
      </c>
      <c r="K818" s="34">
        <f>J818+I818</f>
        <v>0</v>
      </c>
      <c r="L818" s="8"/>
    </row>
    <row r="819" spans="1:14" s="78" customFormat="1" ht="15" x14ac:dyDescent="0.2">
      <c r="A819" s="393"/>
      <c r="B819" s="394" t="s">
        <v>32</v>
      </c>
      <c r="C819" s="432" t="s">
        <v>460</v>
      </c>
      <c r="D819" s="395" t="s">
        <v>408</v>
      </c>
      <c r="E819" s="396"/>
      <c r="F819" s="397">
        <f>F818</f>
        <v>20</v>
      </c>
      <c r="G819" s="398"/>
      <c r="H819" s="398">
        <f>F819*E819</f>
        <v>0</v>
      </c>
      <c r="I819" s="399"/>
      <c r="J819" s="400"/>
      <c r="K819" s="401"/>
      <c r="L819" s="27"/>
      <c r="N819" s="9"/>
    </row>
    <row r="820" spans="1:14" s="78" customFormat="1" ht="12.75" x14ac:dyDescent="0.2">
      <c r="A820" s="58"/>
      <c r="B820" s="382"/>
      <c r="C820" s="422"/>
      <c r="D820" s="112"/>
      <c r="E820" s="178"/>
      <c r="F820" s="241"/>
      <c r="G820" s="61"/>
      <c r="H820" s="61"/>
      <c r="I820" s="63"/>
      <c r="J820" s="64"/>
      <c r="K820" s="65"/>
      <c r="L820" s="27"/>
      <c r="N820" s="9"/>
    </row>
    <row r="821" spans="1:14" s="78" customFormat="1" ht="12.75" x14ac:dyDescent="0.2">
      <c r="A821" s="58"/>
      <c r="B821" s="382"/>
      <c r="C821" s="422"/>
      <c r="D821" s="112"/>
      <c r="E821" s="178"/>
      <c r="F821" s="241"/>
      <c r="G821" s="61"/>
      <c r="H821" s="61"/>
      <c r="I821" s="63"/>
      <c r="J821" s="64"/>
      <c r="K821" s="65"/>
      <c r="L821" s="27"/>
      <c r="N821" s="9"/>
    </row>
    <row r="822" spans="1:14" s="9" customFormat="1" ht="12.75" x14ac:dyDescent="0.2">
      <c r="A822" s="58"/>
      <c r="B822" s="382"/>
      <c r="C822" s="422"/>
      <c r="D822" s="112"/>
      <c r="E822" s="227"/>
      <c r="F822" s="112"/>
      <c r="G822" s="228"/>
      <c r="H822" s="228"/>
      <c r="I822" s="228"/>
      <c r="J822" s="228"/>
      <c r="K822" s="65"/>
      <c r="L822" s="8"/>
    </row>
    <row r="823" spans="1:14" s="9" customFormat="1" ht="12.75" x14ac:dyDescent="0.2">
      <c r="A823" s="18"/>
      <c r="B823" s="387" t="s">
        <v>180</v>
      </c>
      <c r="C823" s="433" t="s">
        <v>484</v>
      </c>
      <c r="D823" s="259" t="s">
        <v>2</v>
      </c>
      <c r="E823" s="260" t="s">
        <v>3</v>
      </c>
      <c r="F823" s="261" t="s">
        <v>4</v>
      </c>
      <c r="G823" s="262" t="s">
        <v>5</v>
      </c>
      <c r="H823" s="262" t="s">
        <v>6</v>
      </c>
      <c r="I823" s="263"/>
      <c r="J823" s="263"/>
      <c r="K823" s="264"/>
      <c r="L823" s="8"/>
    </row>
    <row r="824" spans="1:14" s="9" customFormat="1" ht="12.75" x14ac:dyDescent="0.2">
      <c r="A824" s="18"/>
      <c r="B824" s="388"/>
      <c r="C824" s="434" t="s">
        <v>333</v>
      </c>
      <c r="D824" s="265"/>
      <c r="E824" s="266" t="s">
        <v>11</v>
      </c>
      <c r="F824" s="267" t="s">
        <v>12</v>
      </c>
      <c r="G824" s="268" t="s">
        <v>13</v>
      </c>
      <c r="H824" s="268" t="s">
        <v>14</v>
      </c>
      <c r="I824" s="269"/>
      <c r="J824" s="270"/>
      <c r="K824" s="271"/>
      <c r="L824" s="8"/>
    </row>
    <row r="825" spans="1:14" s="9" customFormat="1" ht="25.5" x14ac:dyDescent="0.2">
      <c r="A825" s="18"/>
      <c r="B825" s="389" t="s">
        <v>18</v>
      </c>
      <c r="C825" s="435" t="s">
        <v>19</v>
      </c>
      <c r="D825" s="272"/>
      <c r="E825" s="273" t="s">
        <v>20</v>
      </c>
      <c r="F825" s="259" t="s">
        <v>21</v>
      </c>
      <c r="G825" s="274" t="s">
        <v>323</v>
      </c>
      <c r="H825" s="274" t="s">
        <v>23</v>
      </c>
      <c r="I825" s="274" t="s">
        <v>24</v>
      </c>
      <c r="J825" s="274" t="s">
        <v>25</v>
      </c>
      <c r="K825" s="275" t="s">
        <v>26</v>
      </c>
      <c r="L825" s="8"/>
    </row>
    <row r="826" spans="1:14" s="9" customFormat="1" ht="12.75" x14ac:dyDescent="0.2">
      <c r="A826" s="18"/>
      <c r="B826" s="390" t="s">
        <v>17</v>
      </c>
      <c r="C826" s="436">
        <v>3</v>
      </c>
      <c r="D826" s="276">
        <v>4</v>
      </c>
      <c r="E826" s="276">
        <v>5</v>
      </c>
      <c r="F826" s="276">
        <v>6</v>
      </c>
      <c r="G826" s="268">
        <v>7</v>
      </c>
      <c r="H826" s="268">
        <v>8</v>
      </c>
      <c r="I826" s="268">
        <v>9</v>
      </c>
      <c r="J826" s="268">
        <v>10</v>
      </c>
      <c r="K826" s="277">
        <v>11</v>
      </c>
      <c r="L826" s="8"/>
    </row>
    <row r="827" spans="1:14" s="9" customFormat="1" ht="12.75" x14ac:dyDescent="0.2">
      <c r="A827" s="18"/>
      <c r="B827" s="391" t="s">
        <v>485</v>
      </c>
      <c r="C827" s="438" t="str">
        <f>C5</f>
        <v>IO 101 Kácení a pěstební opatření stávajících dřevin</v>
      </c>
      <c r="D827" s="278"/>
      <c r="E827" s="279"/>
      <c r="F827" s="280"/>
      <c r="G827" s="100"/>
      <c r="H827" s="100"/>
      <c r="I827" s="100"/>
      <c r="J827" s="100"/>
      <c r="K827" s="281"/>
      <c r="L827" s="8"/>
    </row>
    <row r="828" spans="1:14" s="9" customFormat="1" ht="12.75" x14ac:dyDescent="0.2">
      <c r="A828" s="18"/>
      <c r="B828" s="437"/>
      <c r="C828" s="439" t="str">
        <f>C6</f>
        <v>Z.1.1 strom stávající navržený k odstranění</v>
      </c>
      <c r="D828" s="278"/>
      <c r="E828" s="279"/>
      <c r="F828" s="280"/>
      <c r="G828" s="100"/>
      <c r="H828" s="100"/>
      <c r="I828" s="100"/>
      <c r="J828" s="100"/>
      <c r="K828" s="281"/>
      <c r="L828" s="8"/>
    </row>
    <row r="829" spans="1:14" s="9" customFormat="1" ht="12.75" x14ac:dyDescent="0.2">
      <c r="A829" s="58"/>
      <c r="B829" s="372" t="str">
        <f>B7</f>
        <v>Z. 1.1</v>
      </c>
      <c r="C829" s="437" t="str">
        <f>C7</f>
        <v>Kácení  201-300 postupné bez spouštění</v>
      </c>
      <c r="D829" s="278" t="str">
        <f t="shared" ref="D829:K829" si="11">D7</f>
        <v>ks</v>
      </c>
      <c r="E829" s="282">
        <f t="shared" si="11"/>
        <v>0</v>
      </c>
      <c r="F829" s="283">
        <f t="shared" si="11"/>
        <v>6</v>
      </c>
      <c r="G829" s="284">
        <f t="shared" si="11"/>
        <v>0</v>
      </c>
      <c r="H829" s="284">
        <f t="shared" si="11"/>
        <v>0</v>
      </c>
      <c r="I829" s="284">
        <f t="shared" si="11"/>
        <v>0</v>
      </c>
      <c r="J829" s="284">
        <f t="shared" si="11"/>
        <v>0</v>
      </c>
      <c r="K829" s="285">
        <f t="shared" si="11"/>
        <v>0</v>
      </c>
      <c r="L829" s="8"/>
    </row>
    <row r="830" spans="1:14" s="9" customFormat="1" ht="12.75" x14ac:dyDescent="0.2">
      <c r="A830" s="58"/>
      <c r="B830" s="372" t="str">
        <f t="shared" ref="B830:K830" si="12">B23</f>
        <v>Z. 1.1</v>
      </c>
      <c r="C830" s="437" t="str">
        <f t="shared" si="12"/>
        <v>Kácení  301-400 postupné bez spouštění</v>
      </c>
      <c r="D830" s="278" t="str">
        <f t="shared" si="12"/>
        <v>ks</v>
      </c>
      <c r="E830" s="282">
        <f t="shared" si="12"/>
        <v>0</v>
      </c>
      <c r="F830" s="283">
        <f t="shared" si="12"/>
        <v>2</v>
      </c>
      <c r="G830" s="284">
        <f t="shared" si="12"/>
        <v>0</v>
      </c>
      <c r="H830" s="284">
        <f t="shared" si="12"/>
        <v>0</v>
      </c>
      <c r="I830" s="284">
        <f t="shared" si="12"/>
        <v>0</v>
      </c>
      <c r="J830" s="284">
        <f t="shared" si="12"/>
        <v>0</v>
      </c>
      <c r="K830" s="285">
        <f t="shared" si="12"/>
        <v>0</v>
      </c>
      <c r="L830" s="8"/>
    </row>
    <row r="831" spans="1:14" s="9" customFormat="1" ht="12.75" x14ac:dyDescent="0.2">
      <c r="A831" s="58"/>
      <c r="B831" s="372" t="str">
        <f t="shared" ref="B831:K831" si="13">B23</f>
        <v>Z. 1.1</v>
      </c>
      <c r="C831" s="437" t="str">
        <f t="shared" si="13"/>
        <v>Kácení  301-400 postupné bez spouštění</v>
      </c>
      <c r="D831" s="278" t="str">
        <f t="shared" si="13"/>
        <v>ks</v>
      </c>
      <c r="E831" s="282">
        <f t="shared" si="13"/>
        <v>0</v>
      </c>
      <c r="F831" s="283">
        <f t="shared" si="13"/>
        <v>2</v>
      </c>
      <c r="G831" s="284">
        <f t="shared" si="13"/>
        <v>0</v>
      </c>
      <c r="H831" s="284">
        <f t="shared" si="13"/>
        <v>0</v>
      </c>
      <c r="I831" s="284">
        <f t="shared" si="13"/>
        <v>0</v>
      </c>
      <c r="J831" s="284">
        <f t="shared" si="13"/>
        <v>0</v>
      </c>
      <c r="K831" s="285">
        <f t="shared" si="13"/>
        <v>0</v>
      </c>
      <c r="L831" s="8"/>
    </row>
    <row r="832" spans="1:14" s="9" customFormat="1" ht="12.75" x14ac:dyDescent="0.2">
      <c r="A832" s="58"/>
      <c r="B832" s="372" t="str">
        <f t="shared" ref="B832:K832" si="14">B35</f>
        <v>Z. 1.1</v>
      </c>
      <c r="C832" s="437" t="str">
        <f t="shared" si="14"/>
        <v>Kácení  401-500 postupné bez spouštění</v>
      </c>
      <c r="D832" s="278" t="str">
        <f t="shared" si="14"/>
        <v>ks</v>
      </c>
      <c r="E832" s="282">
        <f t="shared" si="14"/>
        <v>0</v>
      </c>
      <c r="F832" s="283">
        <f t="shared" si="14"/>
        <v>2</v>
      </c>
      <c r="G832" s="284">
        <f t="shared" si="14"/>
        <v>0</v>
      </c>
      <c r="H832" s="284">
        <f t="shared" si="14"/>
        <v>0</v>
      </c>
      <c r="I832" s="284">
        <f t="shared" si="14"/>
        <v>0</v>
      </c>
      <c r="J832" s="284">
        <f t="shared" si="14"/>
        <v>0</v>
      </c>
      <c r="K832" s="285">
        <f t="shared" si="14"/>
        <v>0</v>
      </c>
      <c r="L832" s="8"/>
    </row>
    <row r="833" spans="1:12" s="9" customFormat="1" ht="12.75" x14ac:dyDescent="0.2">
      <c r="A833" s="58"/>
      <c r="B833" s="372"/>
      <c r="C833" s="437" t="s">
        <v>488</v>
      </c>
      <c r="D833" s="278"/>
      <c r="E833" s="282"/>
      <c r="F833" s="283"/>
      <c r="G833" s="284"/>
      <c r="H833" s="284"/>
      <c r="I833" s="284"/>
      <c r="J833" s="284"/>
      <c r="K833" s="285"/>
      <c r="L833" s="8"/>
    </row>
    <row r="834" spans="1:12" s="9" customFormat="1" ht="12.75" x14ac:dyDescent="0.2">
      <c r="A834" s="58"/>
      <c r="B834" s="372" t="str">
        <f t="shared" ref="B834:K834" si="15">B47</f>
        <v>Z.1.2</v>
      </c>
      <c r="C834" s="437" t="str">
        <f t="shared" si="15"/>
        <v>Odstranění nevhodných dřevin do 1,5 m</v>
      </c>
      <c r="D834" s="278" t="str">
        <f t="shared" si="15"/>
        <v>ks</v>
      </c>
      <c r="E834" s="282">
        <f t="shared" si="15"/>
        <v>0</v>
      </c>
      <c r="F834" s="283">
        <f t="shared" si="15"/>
        <v>36</v>
      </c>
      <c r="G834" s="284">
        <f t="shared" si="15"/>
        <v>0</v>
      </c>
      <c r="H834" s="284">
        <f t="shared" si="15"/>
        <v>0</v>
      </c>
      <c r="I834" s="284">
        <f t="shared" si="15"/>
        <v>0</v>
      </c>
      <c r="J834" s="284">
        <f t="shared" si="15"/>
        <v>0</v>
      </c>
      <c r="K834" s="285">
        <f t="shared" si="15"/>
        <v>0</v>
      </c>
      <c r="L834" s="8"/>
    </row>
    <row r="835" spans="1:12" s="9" customFormat="1" ht="12.75" x14ac:dyDescent="0.2">
      <c r="A835" s="58"/>
      <c r="B835" s="372"/>
      <c r="C835" s="437" t="s">
        <v>489</v>
      </c>
      <c r="D835" s="278"/>
      <c r="E835" s="282"/>
      <c r="F835" s="283"/>
      <c r="G835" s="284"/>
      <c r="H835" s="284"/>
      <c r="I835" s="284"/>
      <c r="J835" s="284"/>
      <c r="K835" s="285"/>
      <c r="L835" s="8"/>
    </row>
    <row r="836" spans="1:12" s="9" customFormat="1" ht="12.75" x14ac:dyDescent="0.2">
      <c r="A836" s="58"/>
      <c r="B836" s="372" t="str">
        <f t="shared" ref="B836:K836" si="16">B60</f>
        <v>Z.2.2</v>
      </c>
      <c r="C836" s="437" t="str">
        <f t="shared" si="16"/>
        <v>Řez keřů  - vyvětvení (ZMLAZENÍ  PRŮKLEST A VYKMENĚNÍ)</v>
      </c>
      <c r="D836" s="278" t="str">
        <f t="shared" si="16"/>
        <v>ks</v>
      </c>
      <c r="E836" s="282">
        <f t="shared" si="16"/>
        <v>0</v>
      </c>
      <c r="F836" s="283">
        <f t="shared" si="16"/>
        <v>108</v>
      </c>
      <c r="G836" s="284">
        <f t="shared" si="16"/>
        <v>0</v>
      </c>
      <c r="H836" s="284">
        <f t="shared" si="16"/>
        <v>0</v>
      </c>
      <c r="I836" s="284">
        <f t="shared" si="16"/>
        <v>0</v>
      </c>
      <c r="J836" s="284">
        <f t="shared" si="16"/>
        <v>0</v>
      </c>
      <c r="K836" s="285">
        <f t="shared" si="16"/>
        <v>0</v>
      </c>
      <c r="L836" s="8"/>
    </row>
    <row r="837" spans="1:12" s="9" customFormat="1" ht="12.75" x14ac:dyDescent="0.2">
      <c r="A837" s="58"/>
      <c r="B837" s="372"/>
      <c r="C837" s="437" t="s">
        <v>490</v>
      </c>
      <c r="D837" s="278"/>
      <c r="E837" s="282"/>
      <c r="F837" s="283"/>
      <c r="G837" s="284"/>
      <c r="H837" s="284"/>
      <c r="I837" s="284"/>
      <c r="J837" s="284"/>
      <c r="K837" s="285"/>
      <c r="L837" s="8"/>
    </row>
    <row r="838" spans="1:12" s="9" customFormat="1" ht="25.5" x14ac:dyDescent="0.2">
      <c r="A838" s="58"/>
      <c r="B838" s="372" t="str">
        <f t="shared" ref="B838:K838" si="17">B81</f>
        <v>Z.2.3</v>
      </c>
      <c r="C838" s="437" t="str">
        <f t="shared" si="17"/>
        <v>Řez keřů  - přesadba +  (ZMLAZENÍ PRŮKLEST A VYKMENĚNÍ)Řez keřů  - přesadba +  (ZMLAZENÍ PRŮKLEST A VYKMENĚNÍ)</v>
      </c>
      <c r="D838" s="278" t="str">
        <f t="shared" si="17"/>
        <v>ks</v>
      </c>
      <c r="E838" s="282">
        <f t="shared" si="17"/>
        <v>0</v>
      </c>
      <c r="F838" s="283">
        <f t="shared" si="17"/>
        <v>6</v>
      </c>
      <c r="G838" s="284">
        <f t="shared" si="17"/>
        <v>0</v>
      </c>
      <c r="H838" s="284">
        <f t="shared" si="17"/>
        <v>0</v>
      </c>
      <c r="I838" s="284">
        <f t="shared" si="17"/>
        <v>0</v>
      </c>
      <c r="J838" s="284">
        <f t="shared" si="17"/>
        <v>0</v>
      </c>
      <c r="K838" s="285">
        <f t="shared" si="17"/>
        <v>0</v>
      </c>
      <c r="L838" s="8"/>
    </row>
    <row r="839" spans="1:12" s="9" customFormat="1" ht="12.75" x14ac:dyDescent="0.2">
      <c r="A839" s="372"/>
      <c r="B839" s="372" t="str">
        <f t="shared" ref="A839:C840" si="18">B116</f>
        <v>IO.102</v>
      </c>
      <c r="C839" s="438" t="str">
        <f t="shared" si="18"/>
        <v>IO 102 Vegetační úpravy</v>
      </c>
      <c r="D839" s="278"/>
      <c r="E839" s="282"/>
      <c r="F839" s="283"/>
      <c r="G839" s="284"/>
      <c r="H839" s="284"/>
      <c r="I839" s="284"/>
      <c r="J839" s="284"/>
      <c r="K839" s="285"/>
      <c r="L839" s="8"/>
    </row>
    <row r="840" spans="1:12" s="9" customFormat="1" ht="12.75" x14ac:dyDescent="0.2">
      <c r="A840" s="439">
        <f t="shared" si="18"/>
        <v>0</v>
      </c>
      <c r="B840" s="372" t="str">
        <f t="shared" si="18"/>
        <v>Z.3.1</v>
      </c>
      <c r="C840" s="439" t="str">
        <f t="shared" si="18"/>
        <v>Z.3.1 STROMOVÉ PATRO</v>
      </c>
      <c r="D840" s="278"/>
      <c r="E840" s="282"/>
      <c r="F840" s="283"/>
      <c r="G840" s="284"/>
      <c r="H840" s="284"/>
      <c r="I840" s="284"/>
      <c r="J840" s="284"/>
      <c r="K840" s="285"/>
      <c r="L840" s="8"/>
    </row>
    <row r="841" spans="1:12" s="9" customFormat="1" ht="12.75" x14ac:dyDescent="0.2">
      <c r="A841" s="58"/>
      <c r="B841" s="372" t="str">
        <f t="shared" ref="B841:K841" si="19">B118</f>
        <v>Z 3.1.1</v>
      </c>
      <c r="C841" s="437" t="str">
        <f t="shared" si="19"/>
        <v>Výsadba stromu ve vegetačním povrchu</v>
      </c>
      <c r="D841" s="278" t="str">
        <f t="shared" si="19"/>
        <v>ks</v>
      </c>
      <c r="E841" s="282">
        <f t="shared" si="19"/>
        <v>0</v>
      </c>
      <c r="F841" s="283">
        <f t="shared" si="19"/>
        <v>48</v>
      </c>
      <c r="G841" s="284">
        <f t="shared" si="19"/>
        <v>0</v>
      </c>
      <c r="H841" s="284">
        <f t="shared" si="19"/>
        <v>0</v>
      </c>
      <c r="I841" s="284">
        <f t="shared" si="19"/>
        <v>0</v>
      </c>
      <c r="J841" s="284">
        <f t="shared" si="19"/>
        <v>0</v>
      </c>
      <c r="K841" s="285">
        <f t="shared" si="19"/>
        <v>0</v>
      </c>
      <c r="L841" s="8"/>
    </row>
    <row r="842" spans="1:12" s="9" customFormat="1" ht="12.75" x14ac:dyDescent="0.2">
      <c r="A842" s="58"/>
      <c r="B842" s="372" t="str">
        <f t="shared" ref="B842:K842" si="20">B196</f>
        <v>Z 3.1.2</v>
      </c>
      <c r="C842" s="437" t="str">
        <f t="shared" si="20"/>
        <v>Výsadba stromu v mlatu</v>
      </c>
      <c r="D842" s="278" t="str">
        <f t="shared" si="20"/>
        <v>ks</v>
      </c>
      <c r="E842" s="282">
        <f t="shared" si="20"/>
        <v>0</v>
      </c>
      <c r="F842" s="283">
        <f t="shared" si="20"/>
        <v>13</v>
      </c>
      <c r="G842" s="284">
        <f t="shared" si="20"/>
        <v>0</v>
      </c>
      <c r="H842" s="284">
        <f t="shared" si="20"/>
        <v>0</v>
      </c>
      <c r="I842" s="284">
        <f t="shared" si="20"/>
        <v>0</v>
      </c>
      <c r="J842" s="284">
        <f t="shared" si="20"/>
        <v>0</v>
      </c>
      <c r="K842" s="285">
        <f t="shared" si="20"/>
        <v>0</v>
      </c>
      <c r="L842" s="8"/>
    </row>
    <row r="843" spans="1:12" s="9" customFormat="1" ht="12.75" x14ac:dyDescent="0.2">
      <c r="A843" s="58"/>
      <c r="B843" s="372" t="str">
        <f t="shared" ref="B843:K843" si="21">B275</f>
        <v>Z 3.1.3</v>
      </c>
      <c r="C843" s="437" t="str">
        <f t="shared" si="21"/>
        <v>Výsadba alejového stromu do severní štěrkové rýhy</v>
      </c>
      <c r="D843" s="278" t="str">
        <f t="shared" si="21"/>
        <v>ks</v>
      </c>
      <c r="E843" s="282">
        <f t="shared" si="21"/>
        <v>0</v>
      </c>
      <c r="F843" s="283">
        <f t="shared" si="21"/>
        <v>10</v>
      </c>
      <c r="G843" s="284">
        <f t="shared" si="21"/>
        <v>0</v>
      </c>
      <c r="H843" s="284">
        <f t="shared" si="21"/>
        <v>0</v>
      </c>
      <c r="I843" s="284">
        <f t="shared" si="21"/>
        <v>0</v>
      </c>
      <c r="J843" s="284">
        <f t="shared" si="21"/>
        <v>0</v>
      </c>
      <c r="K843" s="285">
        <f t="shared" si="21"/>
        <v>0</v>
      </c>
      <c r="L843" s="8"/>
    </row>
    <row r="844" spans="1:12" s="9" customFormat="1" ht="12.75" x14ac:dyDescent="0.2">
      <c r="A844" s="58"/>
      <c r="B844" s="372" t="str">
        <f t="shared" ref="B844:K844" si="22">B302</f>
        <v>Z 3.1.4</v>
      </c>
      <c r="C844" s="437" t="str">
        <f t="shared" si="22"/>
        <v xml:space="preserve"> Výsadba stromu na vyvýšenině zaplavovaného záhonu  </v>
      </c>
      <c r="D844" s="278" t="str">
        <f t="shared" si="22"/>
        <v>ks</v>
      </c>
      <c r="E844" s="282">
        <f t="shared" si="22"/>
        <v>0</v>
      </c>
      <c r="F844" s="283">
        <f t="shared" si="22"/>
        <v>6</v>
      </c>
      <c r="G844" s="284">
        <f t="shared" si="22"/>
        <v>0</v>
      </c>
      <c r="H844" s="284">
        <f t="shared" si="22"/>
        <v>0</v>
      </c>
      <c r="I844" s="284">
        <f t="shared" si="22"/>
        <v>0</v>
      </c>
      <c r="J844" s="284">
        <f t="shared" si="22"/>
        <v>0</v>
      </c>
      <c r="K844" s="285">
        <f t="shared" si="22"/>
        <v>0</v>
      </c>
      <c r="L844" s="8"/>
    </row>
    <row r="845" spans="1:12" s="9" customFormat="1" ht="12.75" x14ac:dyDescent="0.2">
      <c r="A845" s="58"/>
      <c r="B845" s="372"/>
      <c r="C845" s="437"/>
      <c r="D845" s="278"/>
      <c r="E845" s="282"/>
      <c r="F845" s="283"/>
      <c r="G845" s="284"/>
      <c r="H845" s="284"/>
      <c r="I845" s="284"/>
      <c r="J845" s="284"/>
      <c r="K845" s="285"/>
      <c r="L845" s="8"/>
    </row>
    <row r="846" spans="1:12" s="9" customFormat="1" ht="12.75" x14ac:dyDescent="0.2">
      <c r="A846" s="58"/>
      <c r="B846" s="372" t="str">
        <f>B328</f>
        <v>Z.3.2</v>
      </c>
      <c r="C846" s="439" t="str">
        <f>C328</f>
        <v>Z.3.2  NOVÉ KEŘOVÉ PATRO</v>
      </c>
      <c r="D846" s="278"/>
      <c r="E846" s="282"/>
      <c r="F846" s="283"/>
      <c r="G846" s="284"/>
      <c r="H846" s="284"/>
      <c r="I846" s="284"/>
      <c r="J846" s="284"/>
      <c r="K846" s="285"/>
      <c r="L846" s="8"/>
    </row>
    <row r="847" spans="1:12" s="9" customFormat="1" ht="12.75" x14ac:dyDescent="0.2">
      <c r="A847" s="58"/>
      <c r="B847" s="372" t="str">
        <f>B329</f>
        <v xml:space="preserve">Z.3.2.1  </v>
      </c>
      <c r="C847" s="437" t="str">
        <f>C329</f>
        <v xml:space="preserve"> Výsadba keře s balem, vysokokmene  ve vegetačním podrostu   </v>
      </c>
      <c r="D847" s="278" t="str">
        <f t="shared" ref="D847:K847" si="23">D329</f>
        <v>ks</v>
      </c>
      <c r="E847" s="282">
        <f t="shared" si="23"/>
        <v>0</v>
      </c>
      <c r="F847" s="283">
        <f t="shared" si="23"/>
        <v>50</v>
      </c>
      <c r="G847" s="284">
        <f t="shared" si="23"/>
        <v>0</v>
      </c>
      <c r="H847" s="284">
        <f t="shared" si="23"/>
        <v>0</v>
      </c>
      <c r="I847" s="284">
        <f t="shared" si="23"/>
        <v>0</v>
      </c>
      <c r="J847" s="284">
        <f t="shared" si="23"/>
        <v>0</v>
      </c>
      <c r="K847" s="285">
        <f t="shared" si="23"/>
        <v>0</v>
      </c>
      <c r="L847" s="8"/>
    </row>
    <row r="848" spans="1:12" s="9" customFormat="1" ht="12.75" x14ac:dyDescent="0.2">
      <c r="A848" s="58"/>
      <c r="B848" s="372" t="str">
        <f t="shared" ref="B848:K848" si="24">B357</f>
        <v>Z.3.2.2</v>
      </c>
      <c r="C848" s="437" t="str">
        <f t="shared" si="24"/>
        <v>Výsadba keře do severní štěrkové rýhy</v>
      </c>
      <c r="D848" s="278" t="str">
        <f t="shared" si="24"/>
        <v>ks</v>
      </c>
      <c r="E848" s="282">
        <f t="shared" si="24"/>
        <v>0</v>
      </c>
      <c r="F848" s="283">
        <f t="shared" si="24"/>
        <v>18</v>
      </c>
      <c r="G848" s="284">
        <f t="shared" si="24"/>
        <v>0</v>
      </c>
      <c r="H848" s="284">
        <f t="shared" si="24"/>
        <v>0</v>
      </c>
      <c r="I848" s="284">
        <f t="shared" si="24"/>
        <v>0</v>
      </c>
      <c r="J848" s="284">
        <f t="shared" si="24"/>
        <v>0</v>
      </c>
      <c r="K848" s="285">
        <f t="shared" si="24"/>
        <v>0</v>
      </c>
      <c r="L848" s="8"/>
    </row>
    <row r="849" spans="1:14" s="9" customFormat="1" ht="12.75" x14ac:dyDescent="0.2">
      <c r="A849" s="58"/>
      <c r="B849" s="372"/>
      <c r="C849" s="437"/>
      <c r="D849" s="278"/>
      <c r="E849" s="282"/>
      <c r="F849" s="283"/>
      <c r="G849" s="284"/>
      <c r="H849" s="284"/>
      <c r="I849" s="284"/>
      <c r="J849" s="284"/>
      <c r="K849" s="285"/>
      <c r="L849" s="8"/>
    </row>
    <row r="850" spans="1:14" s="9" customFormat="1" ht="12.75" x14ac:dyDescent="0.2">
      <c r="A850" s="58"/>
      <c r="B850" s="372"/>
      <c r="C850" s="439" t="s">
        <v>494</v>
      </c>
      <c r="D850" s="278"/>
      <c r="E850" s="282"/>
      <c r="F850" s="283"/>
      <c r="G850" s="284"/>
      <c r="H850" s="284"/>
      <c r="I850" s="284"/>
      <c r="J850" s="284"/>
      <c r="K850" s="285"/>
      <c r="L850" s="8"/>
    </row>
    <row r="851" spans="1:14" s="9" customFormat="1" ht="12.75" x14ac:dyDescent="0.2">
      <c r="A851" s="58"/>
      <c r="B851" s="372" t="str">
        <f>B374</f>
        <v> Z.3.3</v>
      </c>
      <c r="C851" s="437" t="str">
        <f>C374</f>
        <v>Bylinné patro sázené</v>
      </c>
      <c r="D851" s="278"/>
      <c r="E851" s="282"/>
      <c r="F851" s="283"/>
      <c r="G851" s="284"/>
      <c r="H851" s="284"/>
      <c r="I851" s="284"/>
      <c r="J851" s="284"/>
      <c r="K851" s="285"/>
      <c r="L851" s="8"/>
    </row>
    <row r="852" spans="1:14" s="9" customFormat="1" ht="12.75" x14ac:dyDescent="0.2">
      <c r="A852" s="58"/>
      <c r="B852" s="372" t="str">
        <f>B375</f>
        <v>Z.3.3.1</v>
      </c>
      <c r="C852" s="437" t="str">
        <f>C375</f>
        <v>Založení podrostového záhonu obvodového prstence</v>
      </c>
      <c r="D852" s="278" t="str">
        <f t="shared" ref="D852:K852" si="25">D375</f>
        <v>m2</v>
      </c>
      <c r="E852" s="282">
        <f t="shared" si="25"/>
        <v>0</v>
      </c>
      <c r="F852" s="283">
        <f t="shared" si="25"/>
        <v>3936</v>
      </c>
      <c r="G852" s="284">
        <f t="shared" si="25"/>
        <v>0</v>
      </c>
      <c r="H852" s="284">
        <f t="shared" si="25"/>
        <v>0</v>
      </c>
      <c r="I852" s="284">
        <f t="shared" si="25"/>
        <v>0</v>
      </c>
      <c r="J852" s="284">
        <f t="shared" si="25"/>
        <v>0</v>
      </c>
      <c r="K852" s="285">
        <f t="shared" si="25"/>
        <v>0</v>
      </c>
      <c r="L852" s="8"/>
    </row>
    <row r="853" spans="1:14" s="9" customFormat="1" ht="12.75" x14ac:dyDescent="0.2">
      <c r="A853" s="58"/>
      <c r="B853" s="372" t="str">
        <f t="shared" ref="B853:K853" si="26">B435</f>
        <v>Z 3.3.2</v>
      </c>
      <c r="C853" s="437" t="str">
        <f t="shared" si="26"/>
        <v>Založení periodicky zaplavovaného záhonu</v>
      </c>
      <c r="D853" s="278" t="str">
        <f t="shared" si="26"/>
        <v>m2</v>
      </c>
      <c r="E853" s="282">
        <f t="shared" si="26"/>
        <v>0</v>
      </c>
      <c r="F853" s="283">
        <f t="shared" si="26"/>
        <v>243</v>
      </c>
      <c r="G853" s="284">
        <f t="shared" si="26"/>
        <v>0</v>
      </c>
      <c r="H853" s="284">
        <f t="shared" si="26"/>
        <v>0</v>
      </c>
      <c r="I853" s="284">
        <f t="shared" si="26"/>
        <v>0</v>
      </c>
      <c r="J853" s="284">
        <f t="shared" si="26"/>
        <v>0</v>
      </c>
      <c r="K853" s="285">
        <f t="shared" si="26"/>
        <v>0</v>
      </c>
      <c r="L853" s="8"/>
    </row>
    <row r="854" spans="1:14" s="9" customFormat="1" ht="25.5" x14ac:dyDescent="0.2">
      <c r="A854" s="58"/>
      <c r="B854" s="372" t="str">
        <f t="shared" ref="B854:K854" si="27">B494</f>
        <v>Z.3.3.3</v>
      </c>
      <c r="C854" s="437" t="str">
        <f t="shared" si="27"/>
        <v xml:space="preserve">Založení záhonu pod střechou kavárny na štěrkové rýze HDV
</v>
      </c>
      <c r="D854" s="278" t="str">
        <f t="shared" si="27"/>
        <v>m2</v>
      </c>
      <c r="E854" s="282">
        <f t="shared" si="27"/>
        <v>0</v>
      </c>
      <c r="F854" s="283">
        <f t="shared" si="27"/>
        <v>25.6</v>
      </c>
      <c r="G854" s="284">
        <f t="shared" si="27"/>
        <v>0</v>
      </c>
      <c r="H854" s="284">
        <f t="shared" si="27"/>
        <v>0</v>
      </c>
      <c r="I854" s="284">
        <f t="shared" si="27"/>
        <v>0</v>
      </c>
      <c r="J854" s="284">
        <f t="shared" si="27"/>
        <v>0</v>
      </c>
      <c r="K854" s="285">
        <f t="shared" si="27"/>
        <v>0</v>
      </c>
      <c r="L854" s="8"/>
    </row>
    <row r="855" spans="1:14" s="9" customFormat="1" ht="25.5" x14ac:dyDescent="0.2">
      <c r="A855" s="58"/>
      <c r="B855" s="372" t="str">
        <f t="shared" ref="B855:K855" si="28">B521</f>
        <v>Z.3.3.4</v>
      </c>
      <c r="C855" s="437" t="str">
        <f t="shared" si="28"/>
        <v>Založení podrostového záhonu obvodového prstence na severní štěrkové rýze HDV /viz. technologie Z 3.5.1/</v>
      </c>
      <c r="D855" s="278" t="str">
        <f t="shared" si="28"/>
        <v>m2</v>
      </c>
      <c r="E855" s="282">
        <f t="shared" si="28"/>
        <v>0</v>
      </c>
      <c r="F855" s="283">
        <f t="shared" si="28"/>
        <v>87</v>
      </c>
      <c r="G855" s="284">
        <f t="shared" si="28"/>
        <v>0</v>
      </c>
      <c r="H855" s="284">
        <f t="shared" si="28"/>
        <v>0</v>
      </c>
      <c r="I855" s="284">
        <f t="shared" si="28"/>
        <v>0</v>
      </c>
      <c r="J855" s="284">
        <f t="shared" si="28"/>
        <v>0</v>
      </c>
      <c r="K855" s="285">
        <f t="shared" si="28"/>
        <v>0</v>
      </c>
      <c r="L855" s="8"/>
    </row>
    <row r="856" spans="1:14" s="9" customFormat="1" ht="12.75" x14ac:dyDescent="0.2">
      <c r="A856" s="58"/>
      <c r="B856" s="372"/>
      <c r="C856" s="437"/>
      <c r="D856" s="278"/>
      <c r="E856" s="282"/>
      <c r="F856" s="283"/>
      <c r="G856" s="284"/>
      <c r="H856" s="284"/>
      <c r="I856" s="284"/>
      <c r="J856" s="284"/>
      <c r="K856" s="285"/>
      <c r="L856" s="8"/>
    </row>
    <row r="857" spans="1:14" s="9" customFormat="1" ht="12.75" x14ac:dyDescent="0.2">
      <c r="A857" s="58"/>
      <c r="B857" s="372" t="str">
        <f>B536</f>
        <v>Z.3.4  </v>
      </c>
      <c r="C857" s="439" t="str">
        <f>C536</f>
        <v>BYLINNÉ PATRO SETÉ</v>
      </c>
      <c r="D857" s="278"/>
      <c r="E857" s="282"/>
      <c r="F857" s="283"/>
      <c r="G857" s="284"/>
      <c r="H857" s="284"/>
      <c r="I857" s="284"/>
      <c r="J857" s="284"/>
      <c r="K857" s="285"/>
      <c r="L857" s="8"/>
    </row>
    <row r="858" spans="1:14" s="9" customFormat="1" ht="12.75" x14ac:dyDescent="0.2">
      <c r="A858" s="58"/>
      <c r="B858" s="372" t="str">
        <f>B537</f>
        <v>Z.3.4.1</v>
      </c>
      <c r="C858" s="437" t="str">
        <f>C537</f>
        <v>Založení pobytového zátěžového trávníku v centrálním prostoru parku</v>
      </c>
      <c r="D858" s="278" t="str">
        <f t="shared" ref="D858:K858" si="29">D537</f>
        <v>m2</v>
      </c>
      <c r="E858" s="282">
        <f t="shared" si="29"/>
        <v>0</v>
      </c>
      <c r="F858" s="283">
        <f t="shared" si="29"/>
        <v>3136</v>
      </c>
      <c r="G858" s="284">
        <f t="shared" si="29"/>
        <v>0</v>
      </c>
      <c r="H858" s="284">
        <f t="shared" si="29"/>
        <v>0</v>
      </c>
      <c r="I858" s="284">
        <f t="shared" si="29"/>
        <v>0</v>
      </c>
      <c r="J858" s="284">
        <f t="shared" si="29"/>
        <v>0</v>
      </c>
      <c r="K858" s="285">
        <f t="shared" si="29"/>
        <v>0</v>
      </c>
      <c r="L858" s="8"/>
    </row>
    <row r="859" spans="1:14" s="133" customFormat="1" ht="12.75" x14ac:dyDescent="0.2">
      <c r="A859" s="58"/>
      <c r="B859" s="372" t="str">
        <f t="shared" ref="B859:K859" si="30">B581</f>
        <v>Z.3.4.2</v>
      </c>
      <c r="C859" s="437" t="str">
        <f t="shared" si="30"/>
        <v>Založení pobytového stinného trávníku pod stromy kolem okružní cesty</v>
      </c>
      <c r="D859" s="278" t="str">
        <f t="shared" si="30"/>
        <v>m2</v>
      </c>
      <c r="E859" s="282">
        <f t="shared" si="30"/>
        <v>0</v>
      </c>
      <c r="F859" s="283">
        <f t="shared" si="30"/>
        <v>4889</v>
      </c>
      <c r="G859" s="284">
        <f t="shared" si="30"/>
        <v>0</v>
      </c>
      <c r="H859" s="284">
        <f t="shared" si="30"/>
        <v>0</v>
      </c>
      <c r="I859" s="284">
        <f t="shared" si="30"/>
        <v>0</v>
      </c>
      <c r="J859" s="284">
        <f t="shared" si="30"/>
        <v>0</v>
      </c>
      <c r="K859" s="285">
        <f t="shared" si="30"/>
        <v>0</v>
      </c>
      <c r="L859" s="8"/>
      <c r="N859" s="9"/>
    </row>
    <row r="860" spans="1:14" s="133" customFormat="1" ht="25.5" x14ac:dyDescent="0.2">
      <c r="A860" s="58"/>
      <c r="B860" s="372" t="str">
        <f t="shared" ref="B860:K860" si="31">B625</f>
        <v>Z.3.4.3</v>
      </c>
      <c r="C860" s="437" t="str">
        <f t="shared" si="31"/>
        <v xml:space="preserve">Založení parkového trávníku s pestřejší druhovostí na průlehu HDV
</v>
      </c>
      <c r="D860" s="278" t="str">
        <f t="shared" si="31"/>
        <v>m2</v>
      </c>
      <c r="E860" s="282">
        <f t="shared" si="31"/>
        <v>0</v>
      </c>
      <c r="F860" s="283">
        <f t="shared" si="31"/>
        <v>112.5</v>
      </c>
      <c r="G860" s="284">
        <f t="shared" si="31"/>
        <v>0</v>
      </c>
      <c r="H860" s="284">
        <f t="shared" si="31"/>
        <v>0</v>
      </c>
      <c r="I860" s="284">
        <f t="shared" si="31"/>
        <v>0</v>
      </c>
      <c r="J860" s="284">
        <f t="shared" si="31"/>
        <v>0</v>
      </c>
      <c r="K860" s="285">
        <f t="shared" si="31"/>
        <v>0</v>
      </c>
      <c r="L860" s="8"/>
      <c r="N860" s="9"/>
    </row>
    <row r="861" spans="1:14" s="9" customFormat="1" ht="12.75" x14ac:dyDescent="0.2">
      <c r="A861" s="58"/>
      <c r="B861" s="372" t="str">
        <f t="shared" ref="B861:K861" si="32">B651</f>
        <v>Z.3.4.4</v>
      </c>
      <c r="C861" s="437" t="str">
        <f t="shared" si="32"/>
        <v>Dosev spáry dlažby s drceným kamenivem</v>
      </c>
      <c r="D861" s="278" t="str">
        <f t="shared" si="32"/>
        <v>m2</v>
      </c>
      <c r="E861" s="282">
        <f t="shared" si="32"/>
        <v>0</v>
      </c>
      <c r="F861" s="283">
        <f t="shared" si="32"/>
        <v>45.408000000000001</v>
      </c>
      <c r="G861" s="284">
        <f t="shared" si="32"/>
        <v>0</v>
      </c>
      <c r="H861" s="284">
        <f t="shared" si="32"/>
        <v>0</v>
      </c>
      <c r="I861" s="284">
        <f t="shared" si="32"/>
        <v>0</v>
      </c>
      <c r="J861" s="284">
        <f t="shared" si="32"/>
        <v>0</v>
      </c>
      <c r="K861" s="285">
        <f t="shared" si="32"/>
        <v>0</v>
      </c>
      <c r="L861" s="8"/>
    </row>
    <row r="862" spans="1:14" s="9" customFormat="1" ht="12.75" x14ac:dyDescent="0.2">
      <c r="A862" s="58">
        <f>A701</f>
        <v>0</v>
      </c>
      <c r="B862" s="372" t="str">
        <f t="shared" ref="B862:K862" si="33">B672</f>
        <v>Z.3.4.5</v>
      </c>
      <c r="C862" s="437" t="str">
        <f t="shared" si="33"/>
        <v>Založení štěrkového trávníku pod hracími prvky   </v>
      </c>
      <c r="D862" s="278" t="str">
        <f t="shared" si="33"/>
        <v>m2</v>
      </c>
      <c r="E862" s="282">
        <f t="shared" si="33"/>
        <v>0</v>
      </c>
      <c r="F862" s="283">
        <f t="shared" si="33"/>
        <v>164.5</v>
      </c>
      <c r="G862" s="284">
        <f t="shared" si="33"/>
        <v>0</v>
      </c>
      <c r="H862" s="284">
        <f t="shared" si="33"/>
        <v>0</v>
      </c>
      <c r="I862" s="284">
        <f t="shared" si="33"/>
        <v>0</v>
      </c>
      <c r="J862" s="284">
        <f t="shared" si="33"/>
        <v>0</v>
      </c>
      <c r="K862" s="285">
        <f t="shared" si="33"/>
        <v>0</v>
      </c>
      <c r="L862" s="8"/>
    </row>
    <row r="863" spans="1:14" s="9" customFormat="1" ht="12.75" x14ac:dyDescent="0.2">
      <c r="A863" s="58"/>
      <c r="B863" s="372"/>
      <c r="C863" s="437"/>
      <c r="D863" s="278"/>
      <c r="E863" s="282"/>
      <c r="F863" s="283"/>
      <c r="G863" s="284"/>
      <c r="H863" s="284"/>
      <c r="I863" s="284"/>
      <c r="J863" s="284"/>
      <c r="K863" s="285"/>
      <c r="L863" s="8"/>
    </row>
    <row r="864" spans="1:14" s="9" customFormat="1" ht="25.5" x14ac:dyDescent="0.2">
      <c r="A864" s="58"/>
      <c r="B864" s="372" t="str">
        <f>B702</f>
        <v>Z.3.5.</v>
      </c>
      <c r="C864" s="439" t="str">
        <f>C702</f>
        <v xml:space="preserve">OPATŘENÍ ZLEPŠUJÍCÍ STANOVIŠTĚ  
</v>
      </c>
      <c r="D864" s="278"/>
      <c r="E864" s="282"/>
      <c r="F864" s="283"/>
      <c r="G864" s="284"/>
      <c r="H864" s="284"/>
      <c r="I864" s="284"/>
      <c r="J864" s="284"/>
      <c r="K864" s="285"/>
      <c r="L864" s="8"/>
    </row>
    <row r="865" spans="1:14" s="9" customFormat="1" ht="12.75" x14ac:dyDescent="0.2">
      <c r="A865" s="58"/>
      <c r="B865" s="372" t="str">
        <f>B703</f>
        <v>Z.3.5.1</v>
      </c>
      <c r="C865" s="437" t="str">
        <f>C703</f>
        <v>Založení  štěrkové rýhy a prokořenitelného prostoru</v>
      </c>
      <c r="D865" s="278" t="str">
        <f t="shared" ref="D865:K865" si="34">D703</f>
        <v>m2</v>
      </c>
      <c r="E865" s="282">
        <f t="shared" si="34"/>
        <v>0</v>
      </c>
      <c r="F865" s="283">
        <f t="shared" si="34"/>
        <v>87.6</v>
      </c>
      <c r="G865" s="284">
        <f t="shared" si="34"/>
        <v>0</v>
      </c>
      <c r="H865" s="284">
        <f t="shared" si="34"/>
        <v>0</v>
      </c>
      <c r="I865" s="284">
        <f t="shared" si="34"/>
        <v>0</v>
      </c>
      <c r="J865" s="284">
        <f t="shared" si="34"/>
        <v>0</v>
      </c>
      <c r="K865" s="285">
        <f t="shared" si="34"/>
        <v>0</v>
      </c>
      <c r="L865" s="8"/>
    </row>
    <row r="866" spans="1:14" s="9" customFormat="1" ht="12.75" x14ac:dyDescent="0.2">
      <c r="A866" s="58"/>
      <c r="B866" s="372" t="str">
        <f t="shared" ref="B866:K866" si="35">B739</f>
        <v>Z.3.5.2</v>
      </c>
      <c r="C866" s="437" t="str">
        <f t="shared" si="35"/>
        <v>Protierozní opatření (DLE STAVEBNÍ ROZPOČTÁŘE)</v>
      </c>
      <c r="D866" s="278" t="str">
        <f t="shared" si="35"/>
        <v>m2</v>
      </c>
      <c r="E866" s="282">
        <f t="shared" si="35"/>
        <v>0</v>
      </c>
      <c r="F866" s="283">
        <f t="shared" si="35"/>
        <v>87.6</v>
      </c>
      <c r="G866" s="284">
        <f t="shared" si="35"/>
        <v>0</v>
      </c>
      <c r="H866" s="284">
        <f t="shared" si="35"/>
        <v>0</v>
      </c>
      <c r="I866" s="284">
        <f t="shared" si="35"/>
        <v>0</v>
      </c>
      <c r="J866" s="284">
        <f t="shared" si="35"/>
        <v>0</v>
      </c>
      <c r="K866" s="285">
        <f t="shared" si="35"/>
        <v>0</v>
      </c>
      <c r="L866" s="8"/>
    </row>
    <row r="867" spans="1:14" s="9" customFormat="1" ht="12.75" x14ac:dyDescent="0.2">
      <c r="A867" s="58"/>
      <c r="B867" s="372"/>
      <c r="C867" s="437"/>
      <c r="D867" s="278"/>
      <c r="E867" s="282"/>
      <c r="F867" s="283"/>
      <c r="G867" s="284"/>
      <c r="H867" s="284"/>
      <c r="I867" s="284"/>
      <c r="J867" s="284"/>
      <c r="K867" s="285"/>
      <c r="L867" s="8"/>
    </row>
    <row r="868" spans="1:14" s="9" customFormat="1" ht="12.75" x14ac:dyDescent="0.2">
      <c r="A868" s="58"/>
      <c r="B868" s="372" t="str">
        <f>B771</f>
        <v>IO 103</v>
      </c>
      <c r="C868" s="438" t="str">
        <f>C771</f>
        <v>IO 103 Ochrana stromů na stavbě</v>
      </c>
      <c r="D868" s="278"/>
      <c r="E868" s="282"/>
      <c r="F868" s="283"/>
      <c r="G868" s="284"/>
      <c r="H868" s="284"/>
      <c r="I868" s="284"/>
      <c r="J868" s="284"/>
      <c r="K868" s="285"/>
      <c r="L868" s="8"/>
    </row>
    <row r="869" spans="1:14" s="9" customFormat="1" ht="12.75" x14ac:dyDescent="0.2">
      <c r="A869" s="58"/>
      <c r="B869" s="372" t="str">
        <f>B772</f>
        <v>OCH OP 1</v>
      </c>
      <c r="C869" s="437" t="str">
        <f>C772</f>
        <v>Ochranné oplocení</v>
      </c>
      <c r="D869" s="278" t="str">
        <f t="shared" ref="D869:K869" si="36">D772</f>
        <v>bm</v>
      </c>
      <c r="E869" s="282">
        <f t="shared" si="36"/>
        <v>0</v>
      </c>
      <c r="F869" s="283">
        <f t="shared" si="36"/>
        <v>1650</v>
      </c>
      <c r="G869" s="284">
        <f t="shared" si="36"/>
        <v>0</v>
      </c>
      <c r="H869" s="284">
        <f t="shared" si="36"/>
        <v>0</v>
      </c>
      <c r="I869" s="284">
        <f t="shared" si="36"/>
        <v>0</v>
      </c>
      <c r="J869" s="284">
        <f t="shared" si="36"/>
        <v>0</v>
      </c>
      <c r="K869" s="285">
        <f t="shared" si="36"/>
        <v>0</v>
      </c>
      <c r="L869" s="8"/>
    </row>
    <row r="870" spans="1:14" s="9" customFormat="1" ht="12.75" x14ac:dyDescent="0.2">
      <c r="A870" s="58">
        <f t="shared" ref="A870:K870" si="37">A776</f>
        <v>0</v>
      </c>
      <c r="B870" s="372" t="str">
        <f t="shared" si="37"/>
        <v>OCH OP 2</v>
      </c>
      <c r="C870" s="437" t="str">
        <f t="shared" si="37"/>
        <v>Ochrana půdy před zhutněním</v>
      </c>
      <c r="D870" s="278" t="str">
        <f t="shared" si="37"/>
        <v>m2</v>
      </c>
      <c r="E870" s="282">
        <f t="shared" si="37"/>
        <v>0</v>
      </c>
      <c r="F870" s="283">
        <f t="shared" si="37"/>
        <v>462</v>
      </c>
      <c r="G870" s="284">
        <f t="shared" si="37"/>
        <v>0</v>
      </c>
      <c r="H870" s="284">
        <f t="shared" si="37"/>
        <v>0</v>
      </c>
      <c r="I870" s="284">
        <f t="shared" si="37"/>
        <v>0</v>
      </c>
      <c r="J870" s="284">
        <f t="shared" si="37"/>
        <v>0</v>
      </c>
      <c r="K870" s="285">
        <f t="shared" si="37"/>
        <v>0</v>
      </c>
      <c r="L870" s="8"/>
    </row>
    <row r="871" spans="1:14" s="9" customFormat="1" ht="22.5" x14ac:dyDescent="0.2">
      <c r="A871" s="58"/>
      <c r="B871" s="372" t="str">
        <f t="shared" ref="B871:K871" si="38">B785</f>
        <v>OCH OP 3.1_PH 1 (SO 03, SO 04)</v>
      </c>
      <c r="C871" s="437" t="str">
        <f t="shared" si="38"/>
        <v>Přesun hmot</v>
      </c>
      <c r="D871" s="278" t="str">
        <f t="shared" si="38"/>
        <v>m3</v>
      </c>
      <c r="E871" s="282">
        <f t="shared" si="38"/>
        <v>0</v>
      </c>
      <c r="F871" s="283">
        <f t="shared" si="38"/>
        <v>129.30000000000001</v>
      </c>
      <c r="G871" s="284">
        <f t="shared" si="38"/>
        <v>0</v>
      </c>
      <c r="H871" s="284">
        <f t="shared" si="38"/>
        <v>0</v>
      </c>
      <c r="I871" s="284">
        <f t="shared" si="38"/>
        <v>0</v>
      </c>
      <c r="J871" s="284">
        <f t="shared" si="38"/>
        <v>0</v>
      </c>
      <c r="K871" s="285">
        <f t="shared" si="38"/>
        <v>0</v>
      </c>
      <c r="L871" s="8"/>
    </row>
    <row r="872" spans="1:14" s="9" customFormat="1" ht="22.5" x14ac:dyDescent="0.2">
      <c r="A872" s="58"/>
      <c r="B872" s="372" t="str">
        <f t="shared" ref="B872:K872" si="39">B793</f>
        <v>OCH OP 3.2_PH 2 (SO 03, SO 04)</v>
      </c>
      <c r="C872" s="437" t="str">
        <f t="shared" si="39"/>
        <v>Odkop podorničí ručně - v okolí stromů</v>
      </c>
      <c r="D872" s="278" t="str">
        <f t="shared" si="39"/>
        <v>m3</v>
      </c>
      <c r="E872" s="282">
        <f t="shared" si="39"/>
        <v>0</v>
      </c>
      <c r="F872" s="283">
        <f t="shared" si="39"/>
        <v>383.5</v>
      </c>
      <c r="G872" s="284">
        <f t="shared" si="39"/>
        <v>0</v>
      </c>
      <c r="H872" s="284">
        <f t="shared" si="39"/>
        <v>0</v>
      </c>
      <c r="I872" s="284">
        <f t="shared" si="39"/>
        <v>0</v>
      </c>
      <c r="J872" s="284">
        <f t="shared" si="39"/>
        <v>0</v>
      </c>
      <c r="K872" s="285">
        <f t="shared" si="39"/>
        <v>0</v>
      </c>
      <c r="L872" s="8"/>
    </row>
    <row r="873" spans="1:14" s="9" customFormat="1" ht="22.5" x14ac:dyDescent="0.2">
      <c r="A873" s="58"/>
      <c r="B873" s="372" t="str">
        <f t="shared" ref="B873:K873" si="40">B798</f>
        <v>OCH OP 3.3_AIR (HDV IO 201)</v>
      </c>
      <c r="C873" s="437" t="str">
        <f t="shared" si="40"/>
        <v>HDV airspade</v>
      </c>
      <c r="D873" s="278" t="str">
        <f t="shared" si="40"/>
        <v>m3</v>
      </c>
      <c r="E873" s="282">
        <f t="shared" si="40"/>
        <v>0</v>
      </c>
      <c r="F873" s="283">
        <f t="shared" si="40"/>
        <v>11.6088</v>
      </c>
      <c r="G873" s="284">
        <f t="shared" si="40"/>
        <v>0</v>
      </c>
      <c r="H873" s="284">
        <f t="shared" si="40"/>
        <v>0</v>
      </c>
      <c r="I873" s="284">
        <f t="shared" si="40"/>
        <v>0</v>
      </c>
      <c r="J873" s="284">
        <f t="shared" si="40"/>
        <v>0</v>
      </c>
      <c r="K873" s="285">
        <f t="shared" si="40"/>
        <v>0</v>
      </c>
      <c r="L873" s="8"/>
    </row>
    <row r="874" spans="1:14" s="9" customFormat="1" ht="22.5" x14ac:dyDescent="0.2">
      <c r="A874" s="58">
        <f t="shared" ref="A874:K874" si="41">A814</f>
        <v>0</v>
      </c>
      <c r="B874" s="372" t="str">
        <f t="shared" si="41"/>
        <v>OCH OP 3.4_AIR ( SO 08 a 09)</v>
      </c>
      <c r="C874" s="437" t="str">
        <f t="shared" si="41"/>
        <v>Odtěžení air-spadem pod stromy</v>
      </c>
      <c r="D874" s="278" t="str">
        <f t="shared" si="41"/>
        <v>m3</v>
      </c>
      <c r="E874" s="282">
        <f t="shared" si="41"/>
        <v>0</v>
      </c>
      <c r="F874" s="283">
        <f t="shared" si="41"/>
        <v>14.78</v>
      </c>
      <c r="G874" s="284">
        <f t="shared" si="41"/>
        <v>0</v>
      </c>
      <c r="H874" s="284">
        <f t="shared" si="41"/>
        <v>0</v>
      </c>
      <c r="I874" s="284">
        <f t="shared" si="41"/>
        <v>0</v>
      </c>
      <c r="J874" s="284">
        <f t="shared" si="41"/>
        <v>0</v>
      </c>
      <c r="K874" s="285">
        <f t="shared" si="41"/>
        <v>0</v>
      </c>
      <c r="L874" s="8"/>
    </row>
    <row r="875" spans="1:14" s="9" customFormat="1" ht="45" x14ac:dyDescent="0.2">
      <c r="A875" s="58"/>
      <c r="B875" s="372" t="str">
        <f>B818</f>
        <v xml:space="preserve">OCH OP 3.5_  AIR SONDY (HDV IO 201, SO 06, SO 08 a 09) </v>
      </c>
      <c r="C875" s="437" t="str">
        <f t="shared" ref="C875:K875" si="42">C818</f>
        <v>Sondážní rýhy do požadovaných hloubek</v>
      </c>
      <c r="D875" s="278" t="str">
        <f t="shared" si="42"/>
        <v>m3</v>
      </c>
      <c r="E875" s="282">
        <f t="shared" si="42"/>
        <v>0</v>
      </c>
      <c r="F875" s="283">
        <f t="shared" si="42"/>
        <v>20</v>
      </c>
      <c r="G875" s="284">
        <f t="shared" si="42"/>
        <v>0</v>
      </c>
      <c r="H875" s="284">
        <f t="shared" si="42"/>
        <v>0</v>
      </c>
      <c r="I875" s="284">
        <f t="shared" si="42"/>
        <v>0</v>
      </c>
      <c r="J875" s="284">
        <f t="shared" si="42"/>
        <v>0</v>
      </c>
      <c r="K875" s="285">
        <f t="shared" si="42"/>
        <v>0</v>
      </c>
      <c r="L875" s="8"/>
    </row>
    <row r="876" spans="1:14" s="82" customFormat="1" ht="12.75" x14ac:dyDescent="0.2">
      <c r="A876" s="205"/>
      <c r="B876" s="372"/>
      <c r="C876" s="437"/>
      <c r="D876" s="278"/>
      <c r="E876" s="282"/>
      <c r="F876" s="283"/>
      <c r="G876" s="283"/>
      <c r="H876" s="283"/>
      <c r="I876" s="284"/>
      <c r="J876" s="284"/>
      <c r="K876" s="285"/>
      <c r="L876" s="8"/>
      <c r="N876" s="9"/>
    </row>
    <row r="877" spans="1:14" s="292" customFormat="1" ht="12.75" x14ac:dyDescent="0.2">
      <c r="A877" s="286"/>
      <c r="B877" s="382"/>
      <c r="C877" s="422" t="s">
        <v>495</v>
      </c>
      <c r="D877" s="111"/>
      <c r="E877" s="287"/>
      <c r="F877" s="288"/>
      <c r="G877" s="289">
        <f>SUM(G827:G876)</f>
        <v>0</v>
      </c>
      <c r="H877" s="289">
        <f>SUM(H827:H876)</f>
        <v>0</v>
      </c>
      <c r="I877" s="289"/>
      <c r="J877" s="289"/>
      <c r="K877" s="290"/>
      <c r="L877" s="291"/>
      <c r="N877" s="9"/>
    </row>
    <row r="878" spans="1:14" s="28" customFormat="1" ht="12.75" x14ac:dyDescent="0.2">
      <c r="A878" s="293"/>
      <c r="B878" s="385"/>
      <c r="C878" s="425" t="s">
        <v>496</v>
      </c>
      <c r="D878" s="163"/>
      <c r="E878" s="294"/>
      <c r="F878" s="295"/>
      <c r="G878" s="289"/>
      <c r="H878" s="289">
        <f>G877+H877</f>
        <v>0</v>
      </c>
      <c r="I878" s="289">
        <f>SUM(I827:I877)</f>
        <v>0</v>
      </c>
      <c r="J878" s="289">
        <f>SUM(J827:J877)</f>
        <v>0</v>
      </c>
      <c r="K878" s="296">
        <f>SUM(K827:K877)</f>
        <v>0</v>
      </c>
      <c r="L878" s="291"/>
      <c r="N878" s="9"/>
    </row>
    <row r="879" spans="1:14" s="28" customFormat="1" ht="12.75" x14ac:dyDescent="0.2">
      <c r="A879" s="244"/>
      <c r="B879" s="392"/>
      <c r="C879" s="440"/>
      <c r="D879" s="297"/>
      <c r="E879" s="299"/>
      <c r="F879" s="297"/>
      <c r="G879" s="300"/>
      <c r="H879" s="300"/>
      <c r="I879" s="301"/>
      <c r="J879" s="302"/>
      <c r="K879" s="303"/>
      <c r="L879" s="291"/>
      <c r="N879" s="9"/>
    </row>
    <row r="880" spans="1:14" s="292" customFormat="1" ht="12.75" x14ac:dyDescent="0.2">
      <c r="A880" s="244"/>
      <c r="B880" s="392"/>
      <c r="C880" s="440"/>
      <c r="D880" s="297"/>
      <c r="E880" s="299"/>
      <c r="F880" s="297"/>
      <c r="G880" s="300"/>
      <c r="H880" s="9"/>
      <c r="I880" s="304"/>
      <c r="J880" s="302"/>
      <c r="K880" s="303"/>
      <c r="L880" s="291"/>
      <c r="N880" s="9"/>
    </row>
    <row r="881" spans="1:14" x14ac:dyDescent="0.2">
      <c r="E881" s="307"/>
      <c r="G881" s="302"/>
      <c r="H881" s="302"/>
      <c r="I881" s="302"/>
      <c r="J881" s="302"/>
      <c r="L881" s="8"/>
      <c r="N881" s="9"/>
    </row>
    <row r="882" spans="1:14" ht="15" x14ac:dyDescent="0.25">
      <c r="C882" s="440" t="s">
        <v>497</v>
      </c>
      <c r="E882" s="307"/>
      <c r="G882" s="446"/>
      <c r="H882" s="302"/>
      <c r="I882" s="302"/>
      <c r="J882" s="302"/>
      <c r="L882" s="8"/>
    </row>
    <row r="883" spans="1:14" x14ac:dyDescent="0.2">
      <c r="C883" s="440" t="s">
        <v>498</v>
      </c>
      <c r="D883" s="308"/>
      <c r="L883" s="8"/>
      <c r="N883" s="9"/>
    </row>
    <row r="884" spans="1:14" x14ac:dyDescent="0.2">
      <c r="C884" s="440" t="s">
        <v>499</v>
      </c>
      <c r="D884" s="308"/>
      <c r="L884" s="8"/>
      <c r="N884" s="9"/>
    </row>
    <row r="885" spans="1:14" x14ac:dyDescent="0.2">
      <c r="A885" s="310"/>
      <c r="C885" s="441" t="s">
        <v>500</v>
      </c>
      <c r="L885" s="8"/>
      <c r="N885" s="9"/>
    </row>
    <row r="886" spans="1:14" x14ac:dyDescent="0.2">
      <c r="A886" s="310"/>
      <c r="C886" s="440" t="s">
        <v>501</v>
      </c>
      <c r="L886" s="8"/>
      <c r="N886" s="9"/>
    </row>
    <row r="887" spans="1:14" x14ac:dyDescent="0.2">
      <c r="A887" s="310"/>
      <c r="C887" s="440" t="s">
        <v>502</v>
      </c>
      <c r="D887" s="308"/>
      <c r="L887" s="8"/>
      <c r="N887" s="9"/>
    </row>
    <row r="888" spans="1:14" x14ac:dyDescent="0.2">
      <c r="A888" s="310"/>
      <c r="C888" s="440" t="s">
        <v>708</v>
      </c>
      <c r="D888" s="308"/>
      <c r="L888" s="8"/>
      <c r="N888" s="9"/>
    </row>
    <row r="889" spans="1:14" x14ac:dyDescent="0.2">
      <c r="A889" s="310"/>
      <c r="C889" s="444">
        <v>44400</v>
      </c>
      <c r="L889" s="8"/>
      <c r="N889" s="9"/>
    </row>
    <row r="890" spans="1:14" x14ac:dyDescent="0.2">
      <c r="A890" s="310"/>
      <c r="L890" s="8"/>
      <c r="N890" s="9"/>
    </row>
    <row r="891" spans="1:14" x14ac:dyDescent="0.2">
      <c r="A891" s="310"/>
      <c r="C891" s="442" t="s">
        <v>503</v>
      </c>
      <c r="L891" s="8"/>
      <c r="N891" s="9"/>
    </row>
    <row r="892" spans="1:14" x14ac:dyDescent="0.2">
      <c r="A892" s="310"/>
      <c r="L892" s="8"/>
      <c r="N892" s="9"/>
    </row>
    <row r="893" spans="1:14" ht="38.25" x14ac:dyDescent="0.2">
      <c r="A893" s="310"/>
      <c r="C893" s="440" t="s">
        <v>504</v>
      </c>
      <c r="L893" s="8"/>
      <c r="N893" s="9"/>
    </row>
    <row r="894" spans="1:14" x14ac:dyDescent="0.2">
      <c r="A894" s="310"/>
      <c r="L894" s="8"/>
      <c r="N894" s="9"/>
    </row>
    <row r="895" spans="1:14" ht="51" x14ac:dyDescent="0.2">
      <c r="A895" s="310"/>
      <c r="C895" s="440" t="s">
        <v>505</v>
      </c>
      <c r="L895" s="8"/>
      <c r="N895" s="9"/>
    </row>
    <row r="896" spans="1:14" x14ac:dyDescent="0.2">
      <c r="A896" s="310"/>
      <c r="L896" s="8"/>
      <c r="N896" s="9"/>
    </row>
    <row r="897" spans="1:14" ht="63.75" x14ac:dyDescent="0.2">
      <c r="A897" s="310"/>
      <c r="C897" s="440" t="s">
        <v>506</v>
      </c>
      <c r="L897" s="8"/>
      <c r="N897" s="9"/>
    </row>
    <row r="898" spans="1:14" x14ac:dyDescent="0.2">
      <c r="A898" s="310"/>
      <c r="L898" s="8"/>
      <c r="N898" s="9"/>
    </row>
    <row r="899" spans="1:14" ht="25.5" x14ac:dyDescent="0.2">
      <c r="A899" s="310"/>
      <c r="C899" s="440" t="s">
        <v>507</v>
      </c>
      <c r="L899" s="8"/>
      <c r="N899" s="9"/>
    </row>
    <row r="900" spans="1:14" x14ac:dyDescent="0.2">
      <c r="A900" s="310"/>
      <c r="L900" s="8"/>
      <c r="N900" s="9"/>
    </row>
    <row r="901" spans="1:14" ht="51" x14ac:dyDescent="0.2">
      <c r="A901" s="310"/>
      <c r="C901" s="440" t="s">
        <v>508</v>
      </c>
      <c r="L901" s="8"/>
      <c r="N901" s="9"/>
    </row>
    <row r="902" spans="1:14" x14ac:dyDescent="0.2">
      <c r="A902" s="310"/>
      <c r="L902" s="8"/>
      <c r="N902" s="9"/>
    </row>
    <row r="903" spans="1:14" ht="38.25" x14ac:dyDescent="0.2">
      <c r="A903" s="310"/>
      <c r="C903" s="440" t="s">
        <v>509</v>
      </c>
      <c r="L903" s="8"/>
      <c r="N903" s="9"/>
    </row>
    <row r="904" spans="1:14" x14ac:dyDescent="0.2">
      <c r="A904" s="310"/>
      <c r="L904" s="8"/>
      <c r="N904" s="9"/>
    </row>
    <row r="905" spans="1:14" ht="102" x14ac:dyDescent="0.2">
      <c r="A905" s="310"/>
      <c r="C905" s="440" t="s">
        <v>510</v>
      </c>
      <c r="L905" s="8"/>
      <c r="N905" s="9"/>
    </row>
    <row r="906" spans="1:14" x14ac:dyDescent="0.2">
      <c r="A906" s="310"/>
      <c r="L906" s="8"/>
      <c r="N906" s="9"/>
    </row>
    <row r="907" spans="1:14" x14ac:dyDescent="0.2">
      <c r="A907" s="310"/>
      <c r="L907" s="8"/>
      <c r="N907" s="9"/>
    </row>
    <row r="908" spans="1:14" x14ac:dyDescent="0.2">
      <c r="A908" s="310"/>
      <c r="L908" s="8"/>
      <c r="N908" s="9"/>
    </row>
    <row r="909" spans="1:14" x14ac:dyDescent="0.2">
      <c r="A909" s="310"/>
      <c r="L909" s="8"/>
      <c r="N909" s="9"/>
    </row>
    <row r="910" spans="1:14" x14ac:dyDescent="0.2">
      <c r="A910" s="310"/>
      <c r="L910" s="8"/>
      <c r="N910" s="9"/>
    </row>
    <row r="911" spans="1:14" x14ac:dyDescent="0.2">
      <c r="A911" s="310"/>
      <c r="L911" s="8"/>
      <c r="N911" s="9"/>
    </row>
    <row r="912" spans="1:14" x14ac:dyDescent="0.2">
      <c r="A912" s="310"/>
      <c r="L912" s="8"/>
      <c r="N912" s="9"/>
    </row>
    <row r="913" spans="1:14" x14ac:dyDescent="0.2">
      <c r="A913" s="310"/>
      <c r="L913" s="8"/>
      <c r="N913" s="9"/>
    </row>
    <row r="914" spans="1:14" x14ac:dyDescent="0.2">
      <c r="A914" s="310"/>
      <c r="C914" s="443"/>
      <c r="L914" s="8"/>
      <c r="N914" s="9"/>
    </row>
    <row r="915" spans="1:14" x14ac:dyDescent="0.2">
      <c r="A915" s="310"/>
      <c r="C915" s="443"/>
      <c r="L915" s="8"/>
      <c r="N915" s="9"/>
    </row>
    <row r="916" spans="1:14" x14ac:dyDescent="0.2">
      <c r="A916" s="310"/>
      <c r="C916" s="443"/>
      <c r="L916" s="8"/>
      <c r="N916" s="9"/>
    </row>
    <row r="917" spans="1:14" x14ac:dyDescent="0.2">
      <c r="A917" s="310"/>
      <c r="C917" s="443"/>
      <c r="L917" s="8"/>
      <c r="N917" s="9"/>
    </row>
    <row r="918" spans="1:14" x14ac:dyDescent="0.2">
      <c r="A918" s="310"/>
      <c r="C918" s="443"/>
      <c r="L918" s="8"/>
      <c r="N918" s="9"/>
    </row>
    <row r="919" spans="1:14" x14ac:dyDescent="0.2">
      <c r="A919" s="310"/>
      <c r="C919" s="443"/>
      <c r="L919" s="8"/>
      <c r="N919" s="9"/>
    </row>
    <row r="920" spans="1:14" x14ac:dyDescent="0.2">
      <c r="A920" s="310"/>
      <c r="C920" s="443"/>
      <c r="L920" s="8"/>
    </row>
    <row r="921" spans="1:14" x14ac:dyDescent="0.2">
      <c r="A921" s="310"/>
      <c r="C921" s="443"/>
      <c r="L921" s="8"/>
    </row>
    <row r="922" spans="1:14" x14ac:dyDescent="0.2">
      <c r="A922" s="310"/>
      <c r="C922" s="443"/>
      <c r="L922" s="8"/>
    </row>
    <row r="923" spans="1:14" x14ac:dyDescent="0.2">
      <c r="A923" s="310"/>
      <c r="C923" s="443"/>
      <c r="L923" s="8"/>
    </row>
    <row r="924" spans="1:14" x14ac:dyDescent="0.2">
      <c r="A924" s="310"/>
      <c r="C924" s="443"/>
      <c r="L924" s="8"/>
    </row>
    <row r="925" spans="1:14" x14ac:dyDescent="0.2">
      <c r="A925" s="310"/>
      <c r="C925" s="443"/>
      <c r="L925" s="8"/>
    </row>
    <row r="926" spans="1:14" x14ac:dyDescent="0.2">
      <c r="A926" s="310"/>
      <c r="C926" s="443"/>
      <c r="L926" s="8"/>
    </row>
  </sheetData>
  <pageMargins left="0.27559055118110237" right="7.8346456692913402E-2" top="0.4366141732283465" bottom="0.4366141732283465" header="0.19645669291338586" footer="0.19645669291338586"/>
  <pageSetup paperSize="9" fitToWidth="0" fitToHeight="0" orientation="landscape" r:id="rId1"/>
  <headerFooter alignWithMargins="0">
    <oddHeader>&amp;C&amp;"Calibri,Regular"&amp;K000000sešit: &amp;F&amp;R&amp;"Calibri,Regular"&amp;K000000&amp;P/&amp;N</oddHeader>
    <oddFooter>&amp;L&amp;"Calibri,Regular"&amp;K000000list: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27"/>
  <sheetViews>
    <sheetView tabSelected="1" workbookViewId="0">
      <selection activeCell="AA5" sqref="AA5:AA19"/>
    </sheetView>
  </sheetViews>
  <sheetFormatPr defaultRowHeight="14.25" x14ac:dyDescent="0.2"/>
  <cols>
    <col min="1" max="1" width="28" style="358" customWidth="1"/>
    <col min="2" max="2" width="7.625" style="303" customWidth="1"/>
    <col min="3" max="3" width="6.75" style="303" customWidth="1"/>
    <col min="4" max="4" width="9.875" style="303" customWidth="1"/>
    <col min="5" max="5" width="6.75" style="303" customWidth="1"/>
    <col min="6" max="6" width="4.375" style="303" customWidth="1"/>
    <col min="7" max="7" width="6.75" style="303" customWidth="1"/>
    <col min="8" max="8" width="3.5" style="303" customWidth="1"/>
    <col min="9" max="9" width="6.75" style="303" customWidth="1"/>
    <col min="10" max="10" width="9.625" style="303" customWidth="1"/>
    <col min="11" max="11" width="6.75" style="303" customWidth="1"/>
    <col min="12" max="12" width="5.375" style="303" customWidth="1"/>
    <col min="13" max="13" width="6.75" style="303" customWidth="1"/>
    <col min="14" max="14" width="6" style="303" customWidth="1"/>
    <col min="15" max="15" width="6.75" style="303" customWidth="1"/>
    <col min="16" max="16" width="5.625" style="303" customWidth="1"/>
    <col min="17" max="17" width="6.75" style="303" customWidth="1"/>
    <col min="18" max="18" width="5" style="303" customWidth="1"/>
    <col min="19" max="19" width="6.75" style="303" customWidth="1"/>
    <col min="20" max="20" width="4.875" style="303" customWidth="1"/>
    <col min="21" max="21" width="6.75" style="303" customWidth="1"/>
    <col min="22" max="22" width="7.125" style="303" customWidth="1"/>
    <col min="23" max="23" width="6.75" style="303" customWidth="1"/>
    <col min="24" max="24" width="3" style="303" customWidth="1"/>
    <col min="25" max="25" width="6.75" style="303" customWidth="1"/>
    <col min="26" max="26" width="3" style="303" customWidth="1"/>
    <col min="27" max="27" width="4.25" style="303" customWidth="1"/>
    <col min="28" max="1024" width="25.125" style="313" customWidth="1"/>
  </cols>
  <sheetData>
    <row r="1" spans="1:27" x14ac:dyDescent="0.2">
      <c r="A1" s="311" t="s">
        <v>511</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row>
    <row r="2" spans="1:27" x14ac:dyDescent="0.2">
      <c r="A2" s="314" t="s">
        <v>512</v>
      </c>
      <c r="B2" s="315"/>
      <c r="C2" s="315"/>
      <c r="D2" s="315"/>
      <c r="E2" s="315"/>
      <c r="F2" s="315"/>
      <c r="G2" s="315"/>
      <c r="H2" s="315"/>
      <c r="I2" s="315"/>
      <c r="J2" s="315"/>
      <c r="K2" s="315"/>
      <c r="L2" s="315"/>
      <c r="M2" s="315"/>
      <c r="N2" s="315"/>
      <c r="O2" s="315"/>
      <c r="P2" s="315"/>
      <c r="Q2" s="315"/>
      <c r="R2" s="315"/>
      <c r="S2" s="315"/>
      <c r="T2" s="315" t="s">
        <v>513</v>
      </c>
      <c r="U2" s="315"/>
      <c r="V2" s="315"/>
      <c r="W2" s="315"/>
      <c r="X2" s="315" t="s">
        <v>514</v>
      </c>
      <c r="Y2" s="315"/>
      <c r="Z2" s="315"/>
      <c r="AA2" s="315"/>
    </row>
    <row r="3" spans="1:27" s="298" customFormat="1" ht="129.75" customHeight="1" x14ac:dyDescent="0.2">
      <c r="A3" s="314" t="s">
        <v>515</v>
      </c>
      <c r="B3" s="316" t="s">
        <v>516</v>
      </c>
      <c r="C3" s="317">
        <f>SUM(C5:C19)</f>
        <v>0</v>
      </c>
      <c r="D3" s="318" t="s">
        <v>517</v>
      </c>
      <c r="E3" s="319">
        <f>SUM(E5:E19)</f>
        <v>0</v>
      </c>
      <c r="F3" s="316" t="s">
        <v>518</v>
      </c>
      <c r="G3" s="317">
        <f>SUM(G5:G19)</f>
        <v>0</v>
      </c>
      <c r="H3" s="320" t="s">
        <v>519</v>
      </c>
      <c r="I3" s="321">
        <f>SUM(I5:I19)</f>
        <v>0</v>
      </c>
      <c r="J3" s="318" t="s">
        <v>520</v>
      </c>
      <c r="K3" s="319">
        <f>SUM(K5:K19)</f>
        <v>0</v>
      </c>
      <c r="L3" s="322" t="s">
        <v>521</v>
      </c>
      <c r="M3" s="323">
        <f>SUM(M5:M19)</f>
        <v>0</v>
      </c>
      <c r="N3" s="318" t="s">
        <v>420</v>
      </c>
      <c r="O3" s="319">
        <f>SUM(O5:O19)</f>
        <v>0</v>
      </c>
      <c r="P3" s="322" t="s">
        <v>522</v>
      </c>
      <c r="Q3" s="323">
        <f>SUM(Q5:Q19)</f>
        <v>0</v>
      </c>
      <c r="R3" s="318" t="s">
        <v>523</v>
      </c>
      <c r="S3" s="319">
        <f>SUM(S5:S19)</f>
        <v>0</v>
      </c>
      <c r="T3" s="316" t="s">
        <v>524</v>
      </c>
      <c r="U3" s="317">
        <f>SUM(U5:U19)</f>
        <v>0</v>
      </c>
      <c r="V3" s="324" t="s">
        <v>525</v>
      </c>
      <c r="W3" s="325">
        <f>SUM(W5:W19)</f>
        <v>0</v>
      </c>
      <c r="X3" s="326" t="s">
        <v>526</v>
      </c>
      <c r="Y3" s="327">
        <f>SUM(Y5:Y19)</f>
        <v>0</v>
      </c>
      <c r="Z3" s="320" t="s">
        <v>12</v>
      </c>
      <c r="AA3" s="320" t="s">
        <v>527</v>
      </c>
    </row>
    <row r="4" spans="1:27" s="340" customFormat="1" ht="25.5" x14ac:dyDescent="0.2">
      <c r="A4" s="314" t="s">
        <v>512</v>
      </c>
      <c r="B4" s="328" t="s">
        <v>528</v>
      </c>
      <c r="C4" s="329"/>
      <c r="D4" s="330" t="s">
        <v>529</v>
      </c>
      <c r="E4" s="331"/>
      <c r="F4" s="328" t="s">
        <v>530</v>
      </c>
      <c r="G4" s="329"/>
      <c r="H4" s="332" t="s">
        <v>531</v>
      </c>
      <c r="I4" s="333"/>
      <c r="J4" s="330" t="s">
        <v>532</v>
      </c>
      <c r="K4" s="331"/>
      <c r="L4" s="334" t="s">
        <v>533</v>
      </c>
      <c r="M4" s="335"/>
      <c r="N4" s="330" t="s">
        <v>534</v>
      </c>
      <c r="O4" s="331"/>
      <c r="P4" s="334" t="s">
        <v>535</v>
      </c>
      <c r="Q4" s="335"/>
      <c r="R4" s="330" t="s">
        <v>536</v>
      </c>
      <c r="S4" s="331"/>
      <c r="T4" s="328" t="s">
        <v>537</v>
      </c>
      <c r="U4" s="329"/>
      <c r="V4" s="336" t="s">
        <v>538</v>
      </c>
      <c r="W4" s="337"/>
      <c r="X4" s="338"/>
      <c r="Y4" s="339"/>
      <c r="Z4" s="315"/>
      <c r="AA4" s="315"/>
    </row>
    <row r="5" spans="1:27" x14ac:dyDescent="0.2">
      <c r="A5" s="341" t="s">
        <v>539</v>
      </c>
      <c r="B5" s="342">
        <v>71</v>
      </c>
      <c r="C5" s="342">
        <f t="shared" ref="C5:C11" si="0">AA5/100*B5</f>
        <v>0</v>
      </c>
      <c r="D5" s="271">
        <v>33.299999999999997</v>
      </c>
      <c r="E5" s="271">
        <f t="shared" ref="E5:E19" si="1">AA5/100*D5</f>
        <v>0</v>
      </c>
      <c r="F5" s="342">
        <v>70</v>
      </c>
      <c r="G5" s="342">
        <f t="shared" ref="G5:G19" si="2">AA5/100*F5</f>
        <v>0</v>
      </c>
      <c r="H5" s="96">
        <v>33</v>
      </c>
      <c r="I5" s="96">
        <f t="shared" ref="I5:I12" si="3">AA5/100*H5</f>
        <v>0</v>
      </c>
      <c r="J5" s="271">
        <v>70</v>
      </c>
      <c r="K5" s="271">
        <f t="shared" ref="K5:K11" si="4">AA5/100*J5</f>
        <v>0</v>
      </c>
      <c r="L5" s="343"/>
      <c r="M5" s="343">
        <f>AA5/100*L5</f>
        <v>0</v>
      </c>
      <c r="N5" s="271"/>
      <c r="O5" s="271">
        <f t="shared" ref="O5:O12" si="5">AA5/100*N5</f>
        <v>0</v>
      </c>
      <c r="P5" s="343">
        <v>70</v>
      </c>
      <c r="Q5" s="343">
        <f>AA5/100*P5</f>
        <v>0</v>
      </c>
      <c r="R5" s="271"/>
      <c r="S5" s="271"/>
      <c r="T5" s="342"/>
      <c r="U5" s="342"/>
      <c r="V5" s="344">
        <v>30</v>
      </c>
      <c r="W5" s="344">
        <f>AA5/100*V5</f>
        <v>0</v>
      </c>
      <c r="X5" s="345"/>
      <c r="Y5" s="345">
        <f>AA5/100*X5</f>
        <v>0</v>
      </c>
      <c r="Z5" s="96" t="s">
        <v>39</v>
      </c>
      <c r="AA5" s="346"/>
    </row>
    <row r="6" spans="1:27" x14ac:dyDescent="0.2">
      <c r="A6" s="314" t="s">
        <v>540</v>
      </c>
      <c r="B6" s="347"/>
      <c r="C6" s="347">
        <f t="shared" si="0"/>
        <v>0</v>
      </c>
      <c r="D6" s="277">
        <v>33.299999999999997</v>
      </c>
      <c r="E6" s="277">
        <f t="shared" si="1"/>
        <v>0</v>
      </c>
      <c r="F6" s="347"/>
      <c r="G6" s="347">
        <f t="shared" si="2"/>
        <v>0</v>
      </c>
      <c r="H6" s="348"/>
      <c r="I6" s="348">
        <f t="shared" si="3"/>
        <v>0</v>
      </c>
      <c r="J6" s="277"/>
      <c r="K6" s="277">
        <f t="shared" si="4"/>
        <v>0</v>
      </c>
      <c r="L6" s="349"/>
      <c r="M6" s="349">
        <f>AA6/100*L6</f>
        <v>0</v>
      </c>
      <c r="N6" s="277"/>
      <c r="O6" s="277">
        <f t="shared" si="5"/>
        <v>0</v>
      </c>
      <c r="P6" s="349"/>
      <c r="Q6" s="349">
        <f>AA6/100*P6</f>
        <v>0</v>
      </c>
      <c r="R6" s="277"/>
      <c r="S6" s="277"/>
      <c r="T6" s="347"/>
      <c r="U6" s="347"/>
      <c r="V6" s="350">
        <v>33.299999999999997</v>
      </c>
      <c r="W6" s="350">
        <f>AA6/100*V6</f>
        <v>0</v>
      </c>
      <c r="X6" s="351"/>
      <c r="Y6" s="351">
        <f>AA6/100*X6</f>
        <v>0</v>
      </c>
      <c r="Z6" s="348" t="s">
        <v>39</v>
      </c>
      <c r="AA6" s="346"/>
    </row>
    <row r="7" spans="1:27" x14ac:dyDescent="0.2">
      <c r="A7" s="314" t="s">
        <v>541</v>
      </c>
      <c r="B7" s="347"/>
      <c r="C7" s="347">
        <f t="shared" si="0"/>
        <v>0</v>
      </c>
      <c r="D7" s="277"/>
      <c r="E7" s="277">
        <f t="shared" si="1"/>
        <v>0</v>
      </c>
      <c r="F7" s="347"/>
      <c r="G7" s="347">
        <f t="shared" si="2"/>
        <v>0</v>
      </c>
      <c r="H7" s="348"/>
      <c r="I7" s="348">
        <f t="shared" si="3"/>
        <v>0</v>
      </c>
      <c r="J7" s="277"/>
      <c r="K7" s="277">
        <f t="shared" si="4"/>
        <v>0</v>
      </c>
      <c r="L7" s="349">
        <v>40</v>
      </c>
      <c r="M7" s="349">
        <f>AA7/100*L7</f>
        <v>0</v>
      </c>
      <c r="N7" s="277">
        <v>85</v>
      </c>
      <c r="O7" s="277">
        <f t="shared" si="5"/>
        <v>0</v>
      </c>
      <c r="P7" s="349"/>
      <c r="Q7" s="349">
        <f>AA7/100*P7</f>
        <v>0</v>
      </c>
      <c r="R7" s="277"/>
      <c r="S7" s="277"/>
      <c r="T7" s="347"/>
      <c r="U7" s="347"/>
      <c r="V7" s="350"/>
      <c r="W7" s="350">
        <f>AA7/100*V7</f>
        <v>0</v>
      </c>
      <c r="X7" s="351"/>
      <c r="Y7" s="351">
        <f>AA7/100*X7</f>
        <v>0</v>
      </c>
      <c r="Z7" s="348" t="s">
        <v>39</v>
      </c>
      <c r="AA7" s="346"/>
    </row>
    <row r="8" spans="1:27" x14ac:dyDescent="0.2">
      <c r="A8" s="314" t="s">
        <v>542</v>
      </c>
      <c r="B8" s="347"/>
      <c r="C8" s="347">
        <f t="shared" si="0"/>
        <v>0</v>
      </c>
      <c r="D8" s="277">
        <v>33.4</v>
      </c>
      <c r="E8" s="277">
        <f t="shared" si="1"/>
        <v>0</v>
      </c>
      <c r="F8" s="347"/>
      <c r="G8" s="347">
        <f t="shared" si="2"/>
        <v>0</v>
      </c>
      <c r="H8" s="348"/>
      <c r="I8" s="348">
        <f t="shared" si="3"/>
        <v>0</v>
      </c>
      <c r="J8" s="277"/>
      <c r="K8" s="277">
        <f t="shared" si="4"/>
        <v>0</v>
      </c>
      <c r="L8" s="349"/>
      <c r="M8" s="349"/>
      <c r="N8" s="277"/>
      <c r="O8" s="277">
        <f t="shared" si="5"/>
        <v>0</v>
      </c>
      <c r="P8" s="349"/>
      <c r="Q8" s="349"/>
      <c r="R8" s="277"/>
      <c r="S8" s="277"/>
      <c r="T8" s="347"/>
      <c r="U8" s="347"/>
      <c r="V8" s="350"/>
      <c r="W8" s="350"/>
      <c r="X8" s="351"/>
      <c r="Y8" s="351"/>
      <c r="Z8" s="348" t="s">
        <v>39</v>
      </c>
      <c r="AA8" s="346"/>
    </row>
    <row r="9" spans="1:27" x14ac:dyDescent="0.2">
      <c r="A9" s="314" t="s">
        <v>543</v>
      </c>
      <c r="B9" s="347"/>
      <c r="C9" s="347">
        <f t="shared" si="0"/>
        <v>0</v>
      </c>
      <c r="D9" s="277"/>
      <c r="E9" s="277">
        <f t="shared" si="1"/>
        <v>0</v>
      </c>
      <c r="F9" s="347"/>
      <c r="G9" s="347">
        <f t="shared" si="2"/>
        <v>0</v>
      </c>
      <c r="H9" s="348"/>
      <c r="I9" s="348">
        <f t="shared" si="3"/>
        <v>0</v>
      </c>
      <c r="J9" s="277"/>
      <c r="K9" s="277">
        <f t="shared" si="4"/>
        <v>0</v>
      </c>
      <c r="L9" s="349"/>
      <c r="M9" s="349">
        <f t="shared" ref="M9:M12" si="6">AA9/100*L9</f>
        <v>0</v>
      </c>
      <c r="N9" s="277"/>
      <c r="O9" s="277">
        <f t="shared" si="5"/>
        <v>0</v>
      </c>
      <c r="P9" s="349"/>
      <c r="Q9" s="349">
        <f t="shared" ref="Q9:Q12" si="7">AA9/100*P9</f>
        <v>0</v>
      </c>
      <c r="R9" s="277">
        <v>70</v>
      </c>
      <c r="S9" s="277">
        <f>AA9/100*R9</f>
        <v>0</v>
      </c>
      <c r="T9" s="347"/>
      <c r="U9" s="347"/>
      <c r="V9" s="350"/>
      <c r="W9" s="350">
        <f t="shared" ref="W9:W12" si="8">AA9/100*V9</f>
        <v>0</v>
      </c>
      <c r="X9" s="351"/>
      <c r="Y9" s="351">
        <f t="shared" ref="Y9:Y12" si="9">AA9/100*X9</f>
        <v>0</v>
      </c>
      <c r="Z9" s="348" t="s">
        <v>39</v>
      </c>
      <c r="AA9" s="346"/>
    </row>
    <row r="10" spans="1:27" x14ac:dyDescent="0.2">
      <c r="A10" s="314" t="s">
        <v>544</v>
      </c>
      <c r="B10" s="347">
        <v>9</v>
      </c>
      <c r="C10" s="347">
        <f t="shared" si="0"/>
        <v>0</v>
      </c>
      <c r="D10" s="277"/>
      <c r="E10" s="277">
        <f t="shared" si="1"/>
        <v>0</v>
      </c>
      <c r="F10" s="347"/>
      <c r="G10" s="347">
        <f t="shared" si="2"/>
        <v>0</v>
      </c>
      <c r="H10" s="348"/>
      <c r="I10" s="348">
        <f t="shared" si="3"/>
        <v>0</v>
      </c>
      <c r="J10" s="277"/>
      <c r="K10" s="277">
        <f t="shared" si="4"/>
        <v>0</v>
      </c>
      <c r="L10" s="349"/>
      <c r="M10" s="349">
        <f t="shared" si="6"/>
        <v>0</v>
      </c>
      <c r="N10" s="277">
        <v>7.5</v>
      </c>
      <c r="O10" s="277">
        <f t="shared" si="5"/>
        <v>0</v>
      </c>
      <c r="P10" s="349">
        <v>10</v>
      </c>
      <c r="Q10" s="349">
        <f t="shared" si="7"/>
        <v>0</v>
      </c>
      <c r="R10" s="277"/>
      <c r="S10" s="277"/>
      <c r="T10" s="347"/>
      <c r="U10" s="347"/>
      <c r="V10" s="350"/>
      <c r="W10" s="350">
        <f t="shared" si="8"/>
        <v>0</v>
      </c>
      <c r="X10" s="351"/>
      <c r="Y10" s="351">
        <f t="shared" si="9"/>
        <v>0</v>
      </c>
      <c r="Z10" s="348" t="s">
        <v>39</v>
      </c>
      <c r="AA10" s="352"/>
    </row>
    <row r="11" spans="1:27" x14ac:dyDescent="0.2">
      <c r="A11" s="314" t="s">
        <v>545</v>
      </c>
      <c r="B11" s="347"/>
      <c r="C11" s="347">
        <f t="shared" si="0"/>
        <v>0</v>
      </c>
      <c r="D11" s="277"/>
      <c r="E11" s="277">
        <f t="shared" si="1"/>
        <v>0</v>
      </c>
      <c r="F11" s="347"/>
      <c r="G11" s="347">
        <f t="shared" si="2"/>
        <v>0</v>
      </c>
      <c r="H11" s="348"/>
      <c r="I11" s="348">
        <f t="shared" si="3"/>
        <v>0</v>
      </c>
      <c r="J11" s="277"/>
      <c r="K11" s="277">
        <f t="shared" si="4"/>
        <v>0</v>
      </c>
      <c r="L11" s="349"/>
      <c r="M11" s="349">
        <f t="shared" si="6"/>
        <v>0</v>
      </c>
      <c r="N11" s="277"/>
      <c r="O11" s="277">
        <f t="shared" si="5"/>
        <v>0</v>
      </c>
      <c r="P11" s="349"/>
      <c r="Q11" s="349">
        <f t="shared" si="7"/>
        <v>0</v>
      </c>
      <c r="R11" s="277"/>
      <c r="S11" s="277"/>
      <c r="T11" s="347">
        <v>100</v>
      </c>
      <c r="U11" s="347">
        <f>AA11/100*T11</f>
        <v>0</v>
      </c>
      <c r="V11" s="350"/>
      <c r="W11" s="350">
        <f t="shared" si="8"/>
        <v>0</v>
      </c>
      <c r="X11" s="351"/>
      <c r="Y11" s="351">
        <f t="shared" si="9"/>
        <v>0</v>
      </c>
      <c r="Z11" s="348" t="s">
        <v>39</v>
      </c>
      <c r="AA11" s="352"/>
    </row>
    <row r="12" spans="1:27" x14ac:dyDescent="0.2">
      <c r="A12" s="353" t="s">
        <v>546</v>
      </c>
      <c r="B12" s="347">
        <v>2</v>
      </c>
      <c r="C12" s="347">
        <f>AA12*B12</f>
        <v>0</v>
      </c>
      <c r="D12" s="277"/>
      <c r="E12" s="277">
        <f t="shared" si="1"/>
        <v>0</v>
      </c>
      <c r="F12" s="347"/>
      <c r="G12" s="347">
        <f t="shared" si="2"/>
        <v>0</v>
      </c>
      <c r="H12" s="348"/>
      <c r="I12" s="348">
        <f t="shared" si="3"/>
        <v>0</v>
      </c>
      <c r="J12" s="277">
        <v>2</v>
      </c>
      <c r="K12" s="347">
        <f>AA12*J12</f>
        <v>0</v>
      </c>
      <c r="L12" s="349"/>
      <c r="M12" s="349">
        <f t="shared" si="6"/>
        <v>0</v>
      </c>
      <c r="N12" s="277"/>
      <c r="O12" s="277">
        <f t="shared" si="5"/>
        <v>0</v>
      </c>
      <c r="P12" s="349"/>
      <c r="Q12" s="349">
        <f t="shared" si="7"/>
        <v>0</v>
      </c>
      <c r="R12" s="277"/>
      <c r="S12" s="277"/>
      <c r="T12" s="347"/>
      <c r="U12" s="347"/>
      <c r="V12" s="350"/>
      <c r="W12" s="350">
        <f t="shared" si="8"/>
        <v>0</v>
      </c>
      <c r="X12" s="351"/>
      <c r="Y12" s="351">
        <f t="shared" si="9"/>
        <v>0</v>
      </c>
      <c r="Z12" s="348" t="s">
        <v>345</v>
      </c>
      <c r="AA12" s="352"/>
    </row>
    <row r="13" spans="1:27" x14ac:dyDescent="0.2">
      <c r="A13" s="353" t="s">
        <v>546</v>
      </c>
      <c r="B13" s="347"/>
      <c r="C13" s="347"/>
      <c r="D13" s="277"/>
      <c r="E13" s="277">
        <f t="shared" si="1"/>
        <v>0</v>
      </c>
      <c r="F13" s="347"/>
      <c r="G13" s="347">
        <f t="shared" si="2"/>
        <v>0</v>
      </c>
      <c r="H13" s="348"/>
      <c r="I13" s="348"/>
      <c r="J13" s="277"/>
      <c r="K13" s="277">
        <f t="shared" ref="K13:K19" si="10">AA13/100*J13</f>
        <v>0</v>
      </c>
      <c r="L13" s="349"/>
      <c r="M13" s="349"/>
      <c r="N13" s="277"/>
      <c r="O13" s="277"/>
      <c r="P13" s="349"/>
      <c r="Q13" s="349"/>
      <c r="R13" s="277"/>
      <c r="S13" s="277"/>
      <c r="T13" s="347"/>
      <c r="U13" s="347"/>
      <c r="V13" s="350"/>
      <c r="W13" s="350"/>
      <c r="X13" s="351"/>
      <c r="Y13" s="351"/>
      <c r="Z13" s="348" t="s">
        <v>39</v>
      </c>
      <c r="AA13" s="352"/>
    </row>
    <row r="14" spans="1:27" x14ac:dyDescent="0.2">
      <c r="A14" s="353" t="s">
        <v>547</v>
      </c>
      <c r="B14" s="347"/>
      <c r="C14" s="347">
        <f t="shared" ref="C14:C19" si="11">AA14/100*B14</f>
        <v>0</v>
      </c>
      <c r="D14" s="277"/>
      <c r="E14" s="277">
        <f t="shared" si="1"/>
        <v>0</v>
      </c>
      <c r="F14" s="347"/>
      <c r="G14" s="347">
        <f t="shared" si="2"/>
        <v>0</v>
      </c>
      <c r="H14" s="348"/>
      <c r="I14" s="348">
        <f t="shared" ref="I14:I19" si="12">AA14/100*H14</f>
        <v>0</v>
      </c>
      <c r="J14" s="277"/>
      <c r="K14" s="277">
        <f t="shared" si="10"/>
        <v>0</v>
      </c>
      <c r="L14" s="349"/>
      <c r="M14" s="349">
        <f t="shared" ref="M14:M19" si="13">AA14/100*L14</f>
        <v>0</v>
      </c>
      <c r="N14" s="277"/>
      <c r="O14" s="277">
        <f t="shared" ref="O14:O19" si="14">AA14/100*N14</f>
        <v>0</v>
      </c>
      <c r="P14" s="349"/>
      <c r="Q14" s="349">
        <f t="shared" ref="Q14:Q19" si="15">AA14/100*P14</f>
        <v>0</v>
      </c>
      <c r="R14" s="277"/>
      <c r="S14" s="277"/>
      <c r="T14" s="347"/>
      <c r="U14" s="347"/>
      <c r="V14" s="350"/>
      <c r="W14" s="350">
        <f t="shared" ref="W14:W19" si="16">AA14/100*V14</f>
        <v>0</v>
      </c>
      <c r="X14" s="351"/>
      <c r="Y14" s="351">
        <f t="shared" ref="Y14:Y19" si="17">AA14/100*X14</f>
        <v>0</v>
      </c>
      <c r="Z14" s="348" t="s">
        <v>345</v>
      </c>
      <c r="AA14" s="352"/>
    </row>
    <row r="15" spans="1:27" s="297" customFormat="1" ht="12.75" x14ac:dyDescent="0.2">
      <c r="A15" s="314" t="s">
        <v>548</v>
      </c>
      <c r="B15" s="347"/>
      <c r="C15" s="347">
        <f t="shared" si="11"/>
        <v>0</v>
      </c>
      <c r="D15" s="277"/>
      <c r="E15" s="277">
        <f t="shared" si="1"/>
        <v>0</v>
      </c>
      <c r="F15" s="347">
        <v>30</v>
      </c>
      <c r="G15" s="347">
        <f t="shared" si="2"/>
        <v>0</v>
      </c>
      <c r="H15" s="348">
        <v>33</v>
      </c>
      <c r="I15" s="348">
        <f t="shared" si="12"/>
        <v>0</v>
      </c>
      <c r="J15" s="277"/>
      <c r="K15" s="277">
        <f t="shared" si="10"/>
        <v>0</v>
      </c>
      <c r="L15" s="349">
        <v>50</v>
      </c>
      <c r="M15" s="349">
        <f t="shared" si="13"/>
        <v>0</v>
      </c>
      <c r="N15" s="277"/>
      <c r="O15" s="277">
        <f t="shared" si="14"/>
        <v>0</v>
      </c>
      <c r="P15" s="349"/>
      <c r="Q15" s="349">
        <f t="shared" si="15"/>
        <v>0</v>
      </c>
      <c r="R15" s="277">
        <v>30</v>
      </c>
      <c r="S15" s="277">
        <f>AA15/100*R15</f>
        <v>0</v>
      </c>
      <c r="T15" s="347"/>
      <c r="U15" s="347">
        <f>AA15/100*T15</f>
        <v>0</v>
      </c>
      <c r="V15" s="350">
        <v>33.299999999999997</v>
      </c>
      <c r="W15" s="350">
        <f t="shared" si="16"/>
        <v>0</v>
      </c>
      <c r="X15" s="351">
        <v>75</v>
      </c>
      <c r="Y15" s="351">
        <f t="shared" si="17"/>
        <v>0</v>
      </c>
      <c r="Z15" s="348" t="s">
        <v>39</v>
      </c>
      <c r="AA15" s="352"/>
    </row>
    <row r="16" spans="1:27" x14ac:dyDescent="0.2">
      <c r="A16" s="314" t="s">
        <v>549</v>
      </c>
      <c r="B16" s="347"/>
      <c r="C16" s="347">
        <f t="shared" si="11"/>
        <v>0</v>
      </c>
      <c r="D16" s="277"/>
      <c r="E16" s="277">
        <f t="shared" si="1"/>
        <v>0</v>
      </c>
      <c r="F16" s="347"/>
      <c r="G16" s="347">
        <f t="shared" si="2"/>
        <v>0</v>
      </c>
      <c r="H16" s="348"/>
      <c r="I16" s="348">
        <f t="shared" si="12"/>
        <v>0</v>
      </c>
      <c r="J16" s="277"/>
      <c r="K16" s="277">
        <f t="shared" si="10"/>
        <v>0</v>
      </c>
      <c r="L16" s="349"/>
      <c r="M16" s="349">
        <f t="shared" si="13"/>
        <v>0</v>
      </c>
      <c r="N16" s="277"/>
      <c r="O16" s="277">
        <f t="shared" si="14"/>
        <v>0</v>
      </c>
      <c r="P16" s="349"/>
      <c r="Q16" s="349">
        <f t="shared" si="15"/>
        <v>0</v>
      </c>
      <c r="R16" s="277"/>
      <c r="S16" s="277"/>
      <c r="T16" s="347"/>
      <c r="U16" s="347">
        <f>AA16/100*T16</f>
        <v>0</v>
      </c>
      <c r="V16" s="350"/>
      <c r="W16" s="350">
        <f t="shared" si="16"/>
        <v>0</v>
      </c>
      <c r="X16" s="351">
        <v>25</v>
      </c>
      <c r="Y16" s="351">
        <f t="shared" si="17"/>
        <v>0</v>
      </c>
      <c r="Z16" s="348" t="s">
        <v>39</v>
      </c>
      <c r="AA16" s="352"/>
    </row>
    <row r="17" spans="1:27" x14ac:dyDescent="0.2">
      <c r="A17" s="314" t="s">
        <v>550</v>
      </c>
      <c r="B17" s="347">
        <v>20</v>
      </c>
      <c r="C17" s="347">
        <f t="shared" si="11"/>
        <v>0</v>
      </c>
      <c r="D17" s="277"/>
      <c r="E17" s="277">
        <f t="shared" si="1"/>
        <v>0</v>
      </c>
      <c r="F17" s="347"/>
      <c r="G17" s="347">
        <f t="shared" si="2"/>
        <v>0</v>
      </c>
      <c r="H17" s="348">
        <v>33</v>
      </c>
      <c r="I17" s="348">
        <f t="shared" si="12"/>
        <v>0</v>
      </c>
      <c r="J17" s="277">
        <v>30</v>
      </c>
      <c r="K17" s="277">
        <f t="shared" si="10"/>
        <v>0</v>
      </c>
      <c r="L17" s="349">
        <v>10</v>
      </c>
      <c r="M17" s="349">
        <f t="shared" si="13"/>
        <v>0</v>
      </c>
      <c r="N17" s="277">
        <v>7.5</v>
      </c>
      <c r="O17" s="277">
        <f t="shared" si="14"/>
        <v>0</v>
      </c>
      <c r="P17" s="349">
        <v>20</v>
      </c>
      <c r="Q17" s="349">
        <f t="shared" si="15"/>
        <v>0</v>
      </c>
      <c r="R17" s="277"/>
      <c r="S17" s="277"/>
      <c r="T17" s="347"/>
      <c r="U17" s="347">
        <f>AA17/100*T17</f>
        <v>0</v>
      </c>
      <c r="V17" s="350">
        <v>33.299999999999997</v>
      </c>
      <c r="W17" s="350">
        <f t="shared" si="16"/>
        <v>0</v>
      </c>
      <c r="X17" s="351"/>
      <c r="Y17" s="351">
        <f t="shared" si="17"/>
        <v>0</v>
      </c>
      <c r="Z17" s="348" t="s">
        <v>39</v>
      </c>
      <c r="AA17" s="352"/>
    </row>
    <row r="18" spans="1:27" x14ac:dyDescent="0.2">
      <c r="A18" s="314" t="s">
        <v>551</v>
      </c>
      <c r="B18" s="347"/>
      <c r="C18" s="347">
        <f t="shared" si="11"/>
        <v>0</v>
      </c>
      <c r="D18" s="277"/>
      <c r="E18" s="277">
        <f t="shared" si="1"/>
        <v>0</v>
      </c>
      <c r="F18" s="347"/>
      <c r="G18" s="347">
        <f t="shared" si="2"/>
        <v>0</v>
      </c>
      <c r="H18" s="348"/>
      <c r="I18" s="348">
        <f t="shared" si="12"/>
        <v>0</v>
      </c>
      <c r="J18" s="277"/>
      <c r="K18" s="277">
        <f t="shared" si="10"/>
        <v>0</v>
      </c>
      <c r="L18" s="349"/>
      <c r="M18" s="349">
        <f t="shared" si="13"/>
        <v>0</v>
      </c>
      <c r="N18" s="277"/>
      <c r="O18" s="277">
        <f t="shared" si="14"/>
        <v>0</v>
      </c>
      <c r="P18" s="349"/>
      <c r="Q18" s="349">
        <f t="shared" si="15"/>
        <v>0</v>
      </c>
      <c r="R18" s="277"/>
      <c r="S18" s="277"/>
      <c r="T18" s="347"/>
      <c r="U18" s="347">
        <f>AA18/100*T18</f>
        <v>0</v>
      </c>
      <c r="V18" s="350"/>
      <c r="W18" s="350">
        <f t="shared" si="16"/>
        <v>0</v>
      </c>
      <c r="X18" s="351"/>
      <c r="Y18" s="351">
        <f t="shared" si="17"/>
        <v>0</v>
      </c>
      <c r="Z18" s="348" t="s">
        <v>39</v>
      </c>
      <c r="AA18" s="352"/>
    </row>
    <row r="19" spans="1:27" x14ac:dyDescent="0.2">
      <c r="A19" s="314" t="s">
        <v>552</v>
      </c>
      <c r="B19" s="347">
        <v>100</v>
      </c>
      <c r="C19" s="347">
        <f t="shared" si="11"/>
        <v>0</v>
      </c>
      <c r="D19" s="277">
        <v>100</v>
      </c>
      <c r="E19" s="277">
        <f t="shared" si="1"/>
        <v>0</v>
      </c>
      <c r="F19" s="347">
        <v>100</v>
      </c>
      <c r="G19" s="347">
        <f t="shared" si="2"/>
        <v>0</v>
      </c>
      <c r="H19" s="348">
        <v>100</v>
      </c>
      <c r="I19" s="348">
        <f t="shared" si="12"/>
        <v>0</v>
      </c>
      <c r="J19" s="277">
        <v>100</v>
      </c>
      <c r="K19" s="277">
        <f t="shared" si="10"/>
        <v>0</v>
      </c>
      <c r="L19" s="349">
        <v>100</v>
      </c>
      <c r="M19" s="349">
        <f t="shared" si="13"/>
        <v>0</v>
      </c>
      <c r="N19" s="277">
        <v>100</v>
      </c>
      <c r="O19" s="277">
        <f t="shared" si="14"/>
        <v>0</v>
      </c>
      <c r="P19" s="349">
        <v>100</v>
      </c>
      <c r="Q19" s="349">
        <f t="shared" si="15"/>
        <v>0</v>
      </c>
      <c r="R19" s="277">
        <v>100</v>
      </c>
      <c r="S19" s="277">
        <f>AA19/100*R19</f>
        <v>0</v>
      </c>
      <c r="T19" s="347">
        <v>0</v>
      </c>
      <c r="U19" s="347">
        <f>AA19/100*T19</f>
        <v>0</v>
      </c>
      <c r="V19" s="350">
        <v>100</v>
      </c>
      <c r="W19" s="350">
        <f t="shared" si="16"/>
        <v>0</v>
      </c>
      <c r="X19" s="351">
        <v>100</v>
      </c>
      <c r="Y19" s="351">
        <f t="shared" si="17"/>
        <v>0</v>
      </c>
      <c r="Z19" s="348" t="s">
        <v>39</v>
      </c>
      <c r="AA19" s="352"/>
    </row>
    <row r="20" spans="1:27" x14ac:dyDescent="0.2">
      <c r="A20" s="354"/>
      <c r="B20" s="355"/>
      <c r="C20" s="355"/>
      <c r="D20" s="355"/>
      <c r="E20" s="355"/>
      <c r="F20" s="355"/>
      <c r="G20" s="355"/>
      <c r="H20" s="355"/>
      <c r="I20" s="355"/>
      <c r="J20" s="355"/>
      <c r="K20" s="355"/>
      <c r="L20" s="355"/>
      <c r="M20" s="355"/>
      <c r="N20" s="355"/>
      <c r="O20" s="355"/>
      <c r="P20" s="355"/>
      <c r="Q20" s="355"/>
      <c r="R20" s="355"/>
      <c r="S20" s="355"/>
      <c r="T20" s="355"/>
      <c r="U20" s="355"/>
      <c r="V20" s="355"/>
      <c r="W20" s="355"/>
      <c r="X20" s="355"/>
      <c r="Y20" s="355"/>
      <c r="Z20" s="355"/>
      <c r="AA20" s="356"/>
    </row>
    <row r="21" spans="1:27" ht="38.25" x14ac:dyDescent="0.2">
      <c r="A21" s="298" t="s">
        <v>553</v>
      </c>
      <c r="B21" s="312"/>
      <c r="C21" s="312"/>
      <c r="D21" s="312"/>
      <c r="E21" s="312"/>
      <c r="F21" s="312"/>
      <c r="G21" s="312"/>
      <c r="H21" s="312"/>
      <c r="I21" s="312"/>
      <c r="J21" s="312"/>
      <c r="K21" s="312"/>
      <c r="L21" s="312"/>
      <c r="N21" s="312"/>
      <c r="O21" s="312"/>
      <c r="P21" s="357"/>
      <c r="Q21" s="312"/>
      <c r="R21" s="312"/>
      <c r="S21" s="312"/>
      <c r="T21" s="312"/>
      <c r="U21" s="312"/>
      <c r="V21" s="312"/>
      <c r="W21" s="312"/>
      <c r="X21" s="312"/>
      <c r="Y21" s="312"/>
      <c r="Z21" s="312"/>
      <c r="AA21" s="312"/>
    </row>
    <row r="25" spans="1:27" x14ac:dyDescent="0.2">
      <c r="A25" s="358" t="s">
        <v>554</v>
      </c>
    </row>
    <row r="26" spans="1:27" x14ac:dyDescent="0.2">
      <c r="A26" s="358" t="s">
        <v>555</v>
      </c>
    </row>
    <row r="27" spans="1:27" ht="76.5" x14ac:dyDescent="0.2">
      <c r="A27" s="311" t="s">
        <v>556</v>
      </c>
    </row>
  </sheetData>
  <pageMargins left="0.19645669291338586" right="0.11811023622047245" top="0.31535433070866142" bottom="0.31535433070866142" header="0.31535433070866142" footer="0.31535433070866142"/>
  <pageSetup paperSize="0" fitToWidth="0" fitToHeight="0" orientation="landscape" horizontalDpi="0" verticalDpi="0" copies="0"/>
  <headerFooter alignWithMargins="0">
    <oddHeader>&amp;C&amp;"Calibri,Regular"&amp;K000000soubor: &amp;F</oddHeader>
    <oddFooter>&amp;L&amp;"Calibri,Regular"&amp;K000000list: &amp;A&amp;C&amp;"Calibri,Regular"&amp;K000000datum tisku, čas: &amp;D; &amp;T&amp;R&amp;"Calibri,Regular"&amp;K000000&amp;P/&amp;N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152"/>
  <sheetViews>
    <sheetView workbookViewId="0">
      <selection activeCell="A98" sqref="A98"/>
    </sheetView>
  </sheetViews>
  <sheetFormatPr defaultRowHeight="15" x14ac:dyDescent="0.25"/>
  <cols>
    <col min="1" max="1" width="45.5" style="360" customWidth="1"/>
    <col min="2" max="2" width="5.625" style="360" customWidth="1"/>
    <col min="3" max="3" width="5.25" style="360" bestFit="1" customWidth="1"/>
    <col min="4" max="4" width="29.75" style="360" bestFit="1" customWidth="1"/>
    <col min="5" max="6" width="8.125" style="360" customWidth="1"/>
    <col min="7" max="7" width="74.5" style="360" customWidth="1"/>
    <col min="8" max="1024" width="8.125" style="360" customWidth="1"/>
  </cols>
  <sheetData>
    <row r="1" spans="1:7" x14ac:dyDescent="0.25">
      <c r="A1" s="359" t="s">
        <v>557</v>
      </c>
      <c r="B1" s="360">
        <v>3936</v>
      </c>
      <c r="C1" s="360" t="s">
        <v>66</v>
      </c>
      <c r="G1" s="361"/>
    </row>
    <row r="2" spans="1:7" x14ac:dyDescent="0.25">
      <c r="A2" s="362"/>
      <c r="B2" s="362">
        <v>35884</v>
      </c>
      <c r="C2" s="362"/>
      <c r="D2" s="362"/>
      <c r="G2" s="363"/>
    </row>
    <row r="3" spans="1:7" x14ac:dyDescent="0.25">
      <c r="A3" s="362"/>
      <c r="B3" s="362" t="s">
        <v>558</v>
      </c>
      <c r="C3" s="362" t="s">
        <v>559</v>
      </c>
      <c r="D3" s="362"/>
      <c r="G3" s="364"/>
    </row>
    <row r="4" spans="1:7" x14ac:dyDescent="0.25">
      <c r="A4" s="365" t="s">
        <v>560</v>
      </c>
      <c r="B4" s="362"/>
      <c r="C4" s="362">
        <v>1478</v>
      </c>
      <c r="D4" s="362"/>
    </row>
    <row r="5" spans="1:7" x14ac:dyDescent="0.25">
      <c r="A5" s="360" t="s">
        <v>561</v>
      </c>
      <c r="B5" s="362">
        <v>522</v>
      </c>
      <c r="C5" s="362"/>
      <c r="D5" s="362"/>
    </row>
    <row r="6" spans="1:7" x14ac:dyDescent="0.25">
      <c r="A6" s="360" t="s">
        <v>562</v>
      </c>
      <c r="B6" s="362">
        <v>1062</v>
      </c>
      <c r="C6" s="362"/>
      <c r="D6" s="362"/>
    </row>
    <row r="7" spans="1:7" x14ac:dyDescent="0.25">
      <c r="A7" s="360" t="s">
        <v>563</v>
      </c>
      <c r="B7" s="362">
        <v>423</v>
      </c>
      <c r="C7" s="362"/>
      <c r="D7" s="362"/>
    </row>
    <row r="8" spans="1:7" x14ac:dyDescent="0.25">
      <c r="A8" s="360" t="s">
        <v>564</v>
      </c>
      <c r="B8" s="362">
        <v>153</v>
      </c>
      <c r="C8" s="362"/>
      <c r="D8" s="362"/>
    </row>
    <row r="9" spans="1:7" x14ac:dyDescent="0.25">
      <c r="A9" s="360" t="s">
        <v>565</v>
      </c>
      <c r="B9" s="362">
        <v>270</v>
      </c>
      <c r="C9" s="362"/>
      <c r="D9" s="362"/>
    </row>
    <row r="10" spans="1:7" x14ac:dyDescent="0.25">
      <c r="A10" s="360" t="s">
        <v>566</v>
      </c>
      <c r="B10" s="362">
        <v>579</v>
      </c>
      <c r="C10" s="362"/>
      <c r="D10" s="362"/>
    </row>
    <row r="11" spans="1:7" x14ac:dyDescent="0.25">
      <c r="A11" s="360" t="s">
        <v>567</v>
      </c>
      <c r="B11" s="362">
        <v>938</v>
      </c>
      <c r="C11" s="362"/>
      <c r="D11" s="362"/>
    </row>
    <row r="12" spans="1:7" x14ac:dyDescent="0.25">
      <c r="A12" s="360" t="s">
        <v>568</v>
      </c>
      <c r="B12" s="362">
        <v>792</v>
      </c>
      <c r="C12" s="362"/>
      <c r="D12" s="362"/>
    </row>
    <row r="13" spans="1:7" x14ac:dyDescent="0.25">
      <c r="A13" s="360" t="s">
        <v>569</v>
      </c>
      <c r="B13" s="362">
        <v>513</v>
      </c>
      <c r="C13" s="362"/>
      <c r="D13" s="362"/>
    </row>
    <row r="14" spans="1:7" x14ac:dyDescent="0.25">
      <c r="A14" s="360" t="s">
        <v>570</v>
      </c>
      <c r="B14" s="362">
        <v>1188</v>
      </c>
      <c r="C14" s="362"/>
      <c r="D14" s="362"/>
    </row>
    <row r="15" spans="1:7" x14ac:dyDescent="0.25">
      <c r="A15" s="360" t="s">
        <v>571</v>
      </c>
      <c r="B15" s="362">
        <v>603</v>
      </c>
      <c r="C15" s="362"/>
      <c r="D15" s="362"/>
    </row>
    <row r="16" spans="1:7" x14ac:dyDescent="0.25">
      <c r="A16" s="360" t="s">
        <v>572</v>
      </c>
      <c r="B16" s="362">
        <v>576</v>
      </c>
      <c r="C16" s="362"/>
      <c r="D16" s="362"/>
    </row>
    <row r="17" spans="1:4" x14ac:dyDescent="0.25">
      <c r="A17" s="365" t="s">
        <v>573</v>
      </c>
      <c r="B17" s="362"/>
      <c r="C17" s="362">
        <v>585</v>
      </c>
      <c r="D17" s="362"/>
    </row>
    <row r="18" spans="1:4" x14ac:dyDescent="0.25">
      <c r="A18" s="360" t="s">
        <v>574</v>
      </c>
      <c r="B18" s="362">
        <v>981</v>
      </c>
      <c r="C18" s="362"/>
      <c r="D18" s="362"/>
    </row>
    <row r="19" spans="1:4" x14ac:dyDescent="0.25">
      <c r="A19" s="360" t="s">
        <v>575</v>
      </c>
      <c r="B19" s="362">
        <v>270</v>
      </c>
      <c r="C19" s="362"/>
      <c r="D19" s="362"/>
    </row>
    <row r="20" spans="1:4" x14ac:dyDescent="0.25">
      <c r="A20" s="360" t="s">
        <v>576</v>
      </c>
      <c r="B20" s="362">
        <v>304</v>
      </c>
      <c r="C20" s="362"/>
      <c r="D20" s="362"/>
    </row>
    <row r="21" spans="1:4" x14ac:dyDescent="0.25">
      <c r="A21" s="360" t="s">
        <v>577</v>
      </c>
      <c r="B21" s="362">
        <v>299</v>
      </c>
      <c r="C21" s="362"/>
      <c r="D21" s="362"/>
    </row>
    <row r="22" spans="1:4" x14ac:dyDescent="0.25">
      <c r="A22" s="360" t="s">
        <v>578</v>
      </c>
      <c r="B22" s="362">
        <v>1296</v>
      </c>
      <c r="C22" s="362"/>
      <c r="D22" s="362"/>
    </row>
    <row r="23" spans="1:4" x14ac:dyDescent="0.25">
      <c r="A23" s="360" t="s">
        <v>579</v>
      </c>
      <c r="B23" s="362">
        <v>171</v>
      </c>
      <c r="C23" s="362"/>
      <c r="D23" s="362"/>
    </row>
    <row r="24" spans="1:4" x14ac:dyDescent="0.25">
      <c r="A24" s="360" t="s">
        <v>580</v>
      </c>
      <c r="B24" s="362">
        <v>531</v>
      </c>
      <c r="C24" s="362"/>
      <c r="D24" s="362"/>
    </row>
    <row r="25" spans="1:4" x14ac:dyDescent="0.25">
      <c r="A25" s="360" t="s">
        <v>581</v>
      </c>
      <c r="B25" s="362">
        <v>639</v>
      </c>
      <c r="C25" s="362"/>
      <c r="D25" s="362"/>
    </row>
    <row r="26" spans="1:4" x14ac:dyDescent="0.25">
      <c r="A26" s="360" t="s">
        <v>582</v>
      </c>
      <c r="B26" s="362">
        <v>639</v>
      </c>
      <c r="C26" s="362"/>
      <c r="D26" s="362"/>
    </row>
    <row r="27" spans="1:4" x14ac:dyDescent="0.25">
      <c r="A27" s="360" t="s">
        <v>583</v>
      </c>
      <c r="B27" s="362">
        <v>720</v>
      </c>
      <c r="C27" s="362"/>
      <c r="D27" s="362"/>
    </row>
    <row r="28" spans="1:4" x14ac:dyDescent="0.25">
      <c r="A28" s="360" t="s">
        <v>584</v>
      </c>
      <c r="B28" s="362">
        <v>1827</v>
      </c>
      <c r="C28" s="362"/>
      <c r="D28" s="362"/>
    </row>
    <row r="29" spans="1:4" x14ac:dyDescent="0.25">
      <c r="A29" s="360" t="s">
        <v>585</v>
      </c>
      <c r="B29" s="362">
        <v>360</v>
      </c>
      <c r="C29" s="362"/>
      <c r="D29" s="362"/>
    </row>
    <row r="30" spans="1:4" x14ac:dyDescent="0.25">
      <c r="A30" s="365" t="s">
        <v>586</v>
      </c>
      <c r="B30" s="362"/>
      <c r="C30" s="362">
        <v>1755</v>
      </c>
      <c r="D30" s="362"/>
    </row>
    <row r="31" spans="1:4" x14ac:dyDescent="0.25">
      <c r="A31" s="366" t="s">
        <v>587</v>
      </c>
      <c r="B31" s="362">
        <v>274</v>
      </c>
      <c r="C31" s="362"/>
      <c r="D31" s="362"/>
    </row>
    <row r="32" spans="1:4" x14ac:dyDescent="0.25">
      <c r="A32" s="366" t="s">
        <v>588</v>
      </c>
      <c r="B32" s="362">
        <v>269</v>
      </c>
      <c r="C32" s="362"/>
      <c r="D32" s="362"/>
    </row>
    <row r="33" spans="1:4" x14ac:dyDescent="0.25">
      <c r="A33" s="360" t="s">
        <v>589</v>
      </c>
      <c r="B33" s="362">
        <v>114</v>
      </c>
      <c r="C33" s="362"/>
      <c r="D33" s="362"/>
    </row>
    <row r="34" spans="1:4" x14ac:dyDescent="0.25">
      <c r="A34" s="360" t="s">
        <v>590</v>
      </c>
      <c r="B34" s="362">
        <v>135</v>
      </c>
      <c r="C34" s="362"/>
      <c r="D34" s="362"/>
    </row>
    <row r="35" spans="1:4" x14ac:dyDescent="0.25">
      <c r="A35" s="360" t="s">
        <v>591</v>
      </c>
      <c r="B35" s="362">
        <v>1170</v>
      </c>
      <c r="C35" s="362"/>
      <c r="D35" s="362"/>
    </row>
    <row r="36" spans="1:4" x14ac:dyDescent="0.25">
      <c r="A36" s="360" t="s">
        <v>592</v>
      </c>
      <c r="B36" s="362">
        <v>414</v>
      </c>
      <c r="C36" s="362"/>
      <c r="D36" s="362"/>
    </row>
    <row r="37" spans="1:4" x14ac:dyDescent="0.25">
      <c r="A37" s="360" t="s">
        <v>593</v>
      </c>
      <c r="B37" s="362">
        <v>351</v>
      </c>
      <c r="C37" s="362"/>
      <c r="D37" s="362"/>
    </row>
    <row r="38" spans="1:4" x14ac:dyDescent="0.25">
      <c r="A38" s="360" t="s">
        <v>594</v>
      </c>
      <c r="B38" s="362">
        <v>450</v>
      </c>
      <c r="C38" s="362"/>
      <c r="D38" s="362"/>
    </row>
    <row r="39" spans="1:4" x14ac:dyDescent="0.25">
      <c r="A39" s="360" t="s">
        <v>595</v>
      </c>
      <c r="B39" s="362">
        <v>183</v>
      </c>
      <c r="C39" s="362"/>
      <c r="D39" s="362"/>
    </row>
    <row r="40" spans="1:4" x14ac:dyDescent="0.25">
      <c r="A40" s="366" t="s">
        <v>596</v>
      </c>
      <c r="B40" s="362">
        <v>408</v>
      </c>
      <c r="C40" s="362"/>
      <c r="D40" s="362"/>
    </row>
    <row r="41" spans="1:4" x14ac:dyDescent="0.25">
      <c r="A41" s="367" t="s">
        <v>597</v>
      </c>
      <c r="B41" s="362">
        <v>498</v>
      </c>
      <c r="C41" s="362"/>
      <c r="D41" s="362"/>
    </row>
    <row r="42" spans="1:4" x14ac:dyDescent="0.25">
      <c r="A42" s="360" t="s">
        <v>598</v>
      </c>
      <c r="B42" s="362">
        <v>651</v>
      </c>
      <c r="C42" s="362"/>
      <c r="D42" s="362"/>
    </row>
    <row r="43" spans="1:4" x14ac:dyDescent="0.25">
      <c r="A43" s="360" t="s">
        <v>599</v>
      </c>
      <c r="B43" s="362">
        <v>450</v>
      </c>
      <c r="C43" s="362"/>
      <c r="D43" s="362"/>
    </row>
    <row r="44" spans="1:4" x14ac:dyDescent="0.25">
      <c r="A44" s="360" t="s">
        <v>600</v>
      </c>
      <c r="B44" s="362">
        <v>531</v>
      </c>
      <c r="C44" s="362"/>
      <c r="D44" s="362"/>
    </row>
    <row r="45" spans="1:4" x14ac:dyDescent="0.25">
      <c r="A45" s="365" t="s">
        <v>601</v>
      </c>
      <c r="B45" s="362"/>
      <c r="C45" s="362">
        <v>495</v>
      </c>
      <c r="D45" s="362"/>
    </row>
    <row r="46" spans="1:4" x14ac:dyDescent="0.25">
      <c r="A46" s="365" t="s">
        <v>602</v>
      </c>
      <c r="B46" s="362"/>
      <c r="C46" s="362">
        <v>1107</v>
      </c>
      <c r="D46" s="362"/>
    </row>
    <row r="47" spans="1:4" x14ac:dyDescent="0.25">
      <c r="A47" s="360" t="s">
        <v>603</v>
      </c>
      <c r="B47" s="362">
        <v>531</v>
      </c>
      <c r="C47" s="362"/>
      <c r="D47" s="362"/>
    </row>
    <row r="48" spans="1:4" x14ac:dyDescent="0.25">
      <c r="A48" s="360" t="s">
        <v>604</v>
      </c>
      <c r="B48" s="362">
        <v>459</v>
      </c>
      <c r="C48" s="362"/>
      <c r="D48" s="362"/>
    </row>
    <row r="49" spans="1:4" x14ac:dyDescent="0.25">
      <c r="A49" s="360" t="s">
        <v>605</v>
      </c>
      <c r="B49" s="362">
        <v>273</v>
      </c>
      <c r="C49" s="362"/>
      <c r="D49" s="362"/>
    </row>
    <row r="50" spans="1:4" x14ac:dyDescent="0.25">
      <c r="A50" s="360" t="s">
        <v>606</v>
      </c>
      <c r="B50" s="362">
        <v>390</v>
      </c>
      <c r="C50" s="362"/>
      <c r="D50" s="362"/>
    </row>
    <row r="51" spans="1:4" x14ac:dyDescent="0.25">
      <c r="A51" s="360" t="s">
        <v>607</v>
      </c>
      <c r="B51" s="362">
        <v>252</v>
      </c>
      <c r="C51" s="362"/>
      <c r="D51" s="362"/>
    </row>
    <row r="52" spans="1:4" x14ac:dyDescent="0.25">
      <c r="A52" s="360" t="s">
        <v>608</v>
      </c>
      <c r="B52" s="362">
        <v>1416</v>
      </c>
      <c r="C52" s="362"/>
      <c r="D52" s="362"/>
    </row>
    <row r="53" spans="1:4" x14ac:dyDescent="0.25">
      <c r="A53" s="360" t="s">
        <v>609</v>
      </c>
      <c r="B53" s="362">
        <v>567</v>
      </c>
      <c r="C53" s="362"/>
      <c r="D53" s="362"/>
    </row>
    <row r="54" spans="1:4" x14ac:dyDescent="0.25">
      <c r="A54" s="360" t="s">
        <v>610</v>
      </c>
      <c r="B54" s="362">
        <v>522</v>
      </c>
      <c r="C54" s="362"/>
      <c r="D54" s="362"/>
    </row>
    <row r="55" spans="1:4" x14ac:dyDescent="0.25">
      <c r="A55" s="360" t="s">
        <v>611</v>
      </c>
      <c r="B55" s="362">
        <v>630</v>
      </c>
      <c r="C55" s="362"/>
      <c r="D55" s="362"/>
    </row>
    <row r="56" spans="1:4" x14ac:dyDescent="0.25">
      <c r="A56" s="360" t="s">
        <v>612</v>
      </c>
      <c r="B56" s="362">
        <v>225</v>
      </c>
      <c r="C56" s="362"/>
      <c r="D56" s="362"/>
    </row>
    <row r="57" spans="1:4" x14ac:dyDescent="0.25">
      <c r="A57" s="365" t="s">
        <v>613</v>
      </c>
      <c r="B57" s="362"/>
      <c r="C57" s="362">
        <v>621</v>
      </c>
      <c r="D57" s="362"/>
    </row>
    <row r="58" spans="1:4" x14ac:dyDescent="0.25">
      <c r="A58" s="360" t="s">
        <v>614</v>
      </c>
      <c r="B58" s="362">
        <v>648</v>
      </c>
      <c r="C58" s="362"/>
      <c r="D58" s="362"/>
    </row>
    <row r="59" spans="1:4" x14ac:dyDescent="0.25">
      <c r="A59" s="360" t="s">
        <v>615</v>
      </c>
      <c r="B59" s="362">
        <v>495</v>
      </c>
      <c r="C59" s="362"/>
      <c r="D59" s="362"/>
    </row>
    <row r="60" spans="1:4" x14ac:dyDescent="0.25">
      <c r="A60" s="360" t="s">
        <v>616</v>
      </c>
      <c r="B60" s="362">
        <v>594</v>
      </c>
      <c r="C60" s="362"/>
      <c r="D60" s="362"/>
    </row>
    <row r="61" spans="1:4" x14ac:dyDescent="0.25">
      <c r="A61" s="360" t="s">
        <v>617</v>
      </c>
      <c r="B61" s="362">
        <v>711</v>
      </c>
      <c r="C61" s="362"/>
      <c r="D61" s="362"/>
    </row>
    <row r="62" spans="1:4" x14ac:dyDescent="0.25">
      <c r="A62" s="360" t="s">
        <v>618</v>
      </c>
      <c r="B62" s="362">
        <v>486</v>
      </c>
      <c r="C62" s="362"/>
      <c r="D62" s="362"/>
    </row>
    <row r="63" spans="1:4" x14ac:dyDescent="0.25">
      <c r="A63" s="360" t="s">
        <v>619</v>
      </c>
      <c r="B63" s="362">
        <v>90</v>
      </c>
      <c r="C63" s="362"/>
      <c r="D63" s="362"/>
    </row>
    <row r="64" spans="1:4" x14ac:dyDescent="0.25">
      <c r="B64" s="362">
        <f>SUM(B4:B63)</f>
        <v>29843</v>
      </c>
      <c r="C64" s="362">
        <f>SUM(C4:C63)</f>
        <v>6041</v>
      </c>
      <c r="D64" s="362">
        <f>C64+B64</f>
        <v>35884</v>
      </c>
    </row>
    <row r="65" spans="1:4" x14ac:dyDescent="0.25">
      <c r="B65" s="362" t="s">
        <v>558</v>
      </c>
      <c r="C65" s="362" t="s">
        <v>559</v>
      </c>
      <c r="D65" s="362" t="s">
        <v>6</v>
      </c>
    </row>
    <row r="66" spans="1:4" x14ac:dyDescent="0.25">
      <c r="B66" s="362"/>
      <c r="C66" s="362"/>
      <c r="D66" s="362"/>
    </row>
    <row r="67" spans="1:4" x14ac:dyDescent="0.25">
      <c r="A67" s="360" t="s">
        <v>620</v>
      </c>
      <c r="B67" s="362">
        <f>65760</f>
        <v>65760</v>
      </c>
      <c r="C67" s="362"/>
      <c r="D67" s="362"/>
    </row>
    <row r="68" spans="1:4" x14ac:dyDescent="0.25">
      <c r="B68" s="362" t="s">
        <v>621</v>
      </c>
      <c r="C68" s="362" t="s">
        <v>622</v>
      </c>
      <c r="D68" s="362"/>
    </row>
    <row r="69" spans="1:4" x14ac:dyDescent="0.25">
      <c r="A69" s="360" t="s">
        <v>623</v>
      </c>
      <c r="B69" s="362"/>
      <c r="C69" s="362">
        <v>8710</v>
      </c>
      <c r="D69" s="362"/>
    </row>
    <row r="70" spans="1:4" x14ac:dyDescent="0.25">
      <c r="A70" s="360" t="s">
        <v>624</v>
      </c>
      <c r="B70" s="362"/>
      <c r="C70" s="362">
        <v>15335</v>
      </c>
      <c r="D70" s="362"/>
    </row>
    <row r="71" spans="1:4" x14ac:dyDescent="0.25">
      <c r="A71" s="360" t="s">
        <v>625</v>
      </c>
      <c r="B71" s="362">
        <v>1470</v>
      </c>
      <c r="C71" s="362"/>
      <c r="D71" s="362"/>
    </row>
    <row r="72" spans="1:4" x14ac:dyDescent="0.25">
      <c r="A72" s="360" t="s">
        <v>626</v>
      </c>
      <c r="B72" s="362"/>
      <c r="C72" s="362">
        <v>5160</v>
      </c>
      <c r="D72" s="362"/>
    </row>
    <row r="73" spans="1:4" x14ac:dyDescent="0.25">
      <c r="A73" s="360" t="s">
        <v>627</v>
      </c>
      <c r="B73" s="362">
        <v>1425</v>
      </c>
      <c r="C73" s="362"/>
      <c r="D73" s="362"/>
    </row>
    <row r="74" spans="1:4" x14ac:dyDescent="0.25">
      <c r="A74" s="360" t="s">
        <v>628</v>
      </c>
      <c r="B74" s="362">
        <v>2960</v>
      </c>
      <c r="C74" s="362"/>
      <c r="D74" s="362"/>
    </row>
    <row r="75" spans="1:4" x14ac:dyDescent="0.25">
      <c r="A75" s="360" t="s">
        <v>629</v>
      </c>
      <c r="B75" s="362"/>
      <c r="C75" s="362">
        <v>13235</v>
      </c>
      <c r="D75" s="362"/>
    </row>
    <row r="76" spans="1:4" x14ac:dyDescent="0.25">
      <c r="A76" s="360" t="s">
        <v>630</v>
      </c>
      <c r="B76" s="362"/>
      <c r="C76" s="362">
        <v>13285</v>
      </c>
      <c r="D76" s="362"/>
    </row>
    <row r="77" spans="1:4" x14ac:dyDescent="0.25">
      <c r="A77" s="360" t="s">
        <v>631</v>
      </c>
      <c r="B77" s="362">
        <v>1425</v>
      </c>
      <c r="C77" s="362"/>
      <c r="D77" s="362"/>
    </row>
    <row r="78" spans="1:4" x14ac:dyDescent="0.25">
      <c r="A78" s="360" t="s">
        <v>632</v>
      </c>
      <c r="B78" s="362">
        <v>1355</v>
      </c>
      <c r="C78" s="362"/>
      <c r="D78" s="362"/>
    </row>
    <row r="79" spans="1:4" x14ac:dyDescent="0.25">
      <c r="A79" s="360" t="s">
        <v>633</v>
      </c>
      <c r="B79" s="362">
        <v>1400</v>
      </c>
      <c r="C79" s="362"/>
      <c r="D79" s="362"/>
    </row>
    <row r="80" spans="1:4" x14ac:dyDescent="0.25">
      <c r="A80" s="362"/>
      <c r="B80" s="362">
        <f>SUM(B69:B79)</f>
        <v>10035</v>
      </c>
      <c r="C80" s="362">
        <f>SUM(C69:C79)</f>
        <v>55725</v>
      </c>
      <c r="D80" s="362">
        <f>C80+B80</f>
        <v>65760</v>
      </c>
    </row>
    <row r="81" spans="1:7" x14ac:dyDescent="0.25">
      <c r="B81" s="362" t="s">
        <v>621</v>
      </c>
      <c r="C81" s="362" t="s">
        <v>622</v>
      </c>
      <c r="D81" s="362" t="s">
        <v>6</v>
      </c>
    </row>
    <row r="86" spans="1:7" x14ac:dyDescent="0.25">
      <c r="A86" s="359" t="s">
        <v>634</v>
      </c>
      <c r="B86" s="360">
        <v>243</v>
      </c>
      <c r="C86" s="360" t="s">
        <v>66</v>
      </c>
      <c r="G86" s="361"/>
    </row>
    <row r="87" spans="1:7" x14ac:dyDescent="0.25">
      <c r="G87" s="363"/>
    </row>
    <row r="88" spans="1:7" x14ac:dyDescent="0.25">
      <c r="A88" s="367" t="s">
        <v>635</v>
      </c>
      <c r="B88" s="362" t="s">
        <v>558</v>
      </c>
      <c r="C88" s="362" t="s">
        <v>559</v>
      </c>
      <c r="D88" s="362"/>
    </row>
    <row r="89" spans="1:7" x14ac:dyDescent="0.25">
      <c r="A89" s="368" t="s">
        <v>636</v>
      </c>
      <c r="B89" s="360">
        <v>250</v>
      </c>
    </row>
    <row r="90" spans="1:7" x14ac:dyDescent="0.25">
      <c r="A90" s="368" t="s">
        <v>562</v>
      </c>
      <c r="B90" s="360">
        <v>100</v>
      </c>
    </row>
    <row r="91" spans="1:7" x14ac:dyDescent="0.25">
      <c r="A91" s="369" t="s">
        <v>637</v>
      </c>
      <c r="B91" s="360">
        <v>60</v>
      </c>
    </row>
    <row r="92" spans="1:7" x14ac:dyDescent="0.25">
      <c r="A92" s="369" t="s">
        <v>638</v>
      </c>
      <c r="B92" s="360">
        <v>55</v>
      </c>
    </row>
    <row r="93" spans="1:7" x14ac:dyDescent="0.25">
      <c r="A93" s="368" t="s">
        <v>639</v>
      </c>
      <c r="B93" s="360">
        <v>80</v>
      </c>
    </row>
    <row r="94" spans="1:7" x14ac:dyDescent="0.25">
      <c r="A94" s="369" t="s">
        <v>640</v>
      </c>
      <c r="B94" s="360">
        <v>70</v>
      </c>
    </row>
    <row r="95" spans="1:7" x14ac:dyDescent="0.25">
      <c r="A95" s="368" t="s">
        <v>576</v>
      </c>
      <c r="B95" s="360">
        <v>95</v>
      </c>
    </row>
    <row r="96" spans="1:7" x14ac:dyDescent="0.25">
      <c r="A96" s="365" t="s">
        <v>641</v>
      </c>
      <c r="C96" s="360">
        <v>150</v>
      </c>
    </row>
    <row r="97" spans="1:4" x14ac:dyDescent="0.25">
      <c r="A97" s="368" t="s">
        <v>642</v>
      </c>
      <c r="B97" s="360">
        <v>65</v>
      </c>
    </row>
    <row r="98" spans="1:4" x14ac:dyDescent="0.25">
      <c r="A98" s="365" t="s">
        <v>643</v>
      </c>
      <c r="C98" s="360">
        <v>155</v>
      </c>
    </row>
    <row r="99" spans="1:4" x14ac:dyDescent="0.25">
      <c r="A99" s="368" t="s">
        <v>644</v>
      </c>
      <c r="B99" s="360">
        <v>108</v>
      </c>
    </row>
    <row r="100" spans="1:4" x14ac:dyDescent="0.25">
      <c r="A100" s="368" t="s">
        <v>645</v>
      </c>
      <c r="B100" s="360">
        <v>100</v>
      </c>
    </row>
    <row r="101" spans="1:4" x14ac:dyDescent="0.25">
      <c r="A101" s="368" t="s">
        <v>646</v>
      </c>
      <c r="B101" s="360">
        <v>80</v>
      </c>
    </row>
    <row r="102" spans="1:4" x14ac:dyDescent="0.25">
      <c r="A102" s="368" t="s">
        <v>647</v>
      </c>
      <c r="B102" s="360">
        <v>80</v>
      </c>
    </row>
    <row r="103" spans="1:4" x14ac:dyDescent="0.25">
      <c r="A103" s="368" t="s">
        <v>648</v>
      </c>
      <c r="B103" s="360">
        <v>130</v>
      </c>
    </row>
    <row r="104" spans="1:4" x14ac:dyDescent="0.25">
      <c r="A104" s="368" t="s">
        <v>649</v>
      </c>
      <c r="B104" s="360">
        <v>60</v>
      </c>
    </row>
    <row r="105" spans="1:4" x14ac:dyDescent="0.25">
      <c r="A105" s="369" t="s">
        <v>650</v>
      </c>
      <c r="B105" s="360">
        <v>75</v>
      </c>
    </row>
    <row r="106" spans="1:4" x14ac:dyDescent="0.25">
      <c r="A106" s="368" t="s">
        <v>651</v>
      </c>
      <c r="B106" s="360">
        <v>55</v>
      </c>
    </row>
    <row r="107" spans="1:4" x14ac:dyDescent="0.25">
      <c r="A107" s="368" t="s">
        <v>652</v>
      </c>
      <c r="B107" s="360">
        <v>50</v>
      </c>
    </row>
    <row r="108" spans="1:4" x14ac:dyDescent="0.25">
      <c r="A108" s="368" t="s">
        <v>653</v>
      </c>
      <c r="B108" s="360">
        <v>130</v>
      </c>
    </row>
    <row r="109" spans="1:4" x14ac:dyDescent="0.25">
      <c r="A109" s="370" t="s">
        <v>654</v>
      </c>
      <c r="B109" s="360">
        <v>120</v>
      </c>
    </row>
    <row r="110" spans="1:4" x14ac:dyDescent="0.25">
      <c r="A110" s="368" t="s">
        <v>655</v>
      </c>
      <c r="B110" s="360">
        <v>70</v>
      </c>
    </row>
    <row r="111" spans="1:4" x14ac:dyDescent="0.25">
      <c r="A111" s="368"/>
      <c r="B111" s="362">
        <f>SUM(B89:B110)</f>
        <v>1833</v>
      </c>
      <c r="C111" s="362">
        <f>SUM(C89:C110)</f>
        <v>305</v>
      </c>
      <c r="D111" s="362">
        <f>C111+B111</f>
        <v>2138</v>
      </c>
    </row>
    <row r="112" spans="1:4" x14ac:dyDescent="0.25">
      <c r="A112" s="368"/>
      <c r="B112" s="362" t="s">
        <v>558</v>
      </c>
      <c r="C112" s="362" t="s">
        <v>559</v>
      </c>
      <c r="D112" s="362" t="s">
        <v>6</v>
      </c>
    </row>
    <row r="113" spans="1:7" x14ac:dyDescent="0.25">
      <c r="A113" s="367" t="s">
        <v>656</v>
      </c>
      <c r="B113" s="360" t="s">
        <v>621</v>
      </c>
      <c r="C113" s="360" t="s">
        <v>622</v>
      </c>
    </row>
    <row r="114" spans="1:7" x14ac:dyDescent="0.25">
      <c r="A114" s="368" t="s">
        <v>657</v>
      </c>
      <c r="C114" s="360">
        <v>1110</v>
      </c>
      <c r="D114" s="368"/>
    </row>
    <row r="115" spans="1:7" x14ac:dyDescent="0.25">
      <c r="A115" s="368" t="s">
        <v>658</v>
      </c>
      <c r="B115" s="360">
        <v>665</v>
      </c>
      <c r="D115" s="368"/>
    </row>
    <row r="116" spans="1:7" x14ac:dyDescent="0.25">
      <c r="A116" s="369" t="s">
        <v>659</v>
      </c>
      <c r="C116" s="360">
        <v>160</v>
      </c>
      <c r="D116" s="369"/>
    </row>
    <row r="117" spans="1:7" x14ac:dyDescent="0.25">
      <c r="A117" s="368" t="s">
        <v>660</v>
      </c>
      <c r="C117" s="360">
        <v>160</v>
      </c>
      <c r="D117" s="368"/>
    </row>
    <row r="118" spans="1:7" x14ac:dyDescent="0.25">
      <c r="A118" s="368" t="s">
        <v>661</v>
      </c>
      <c r="C118" s="360">
        <v>160</v>
      </c>
      <c r="D118" s="368"/>
    </row>
    <row r="119" spans="1:7" x14ac:dyDescent="0.25">
      <c r="A119" s="368" t="s">
        <v>662</v>
      </c>
      <c r="B119" s="360">
        <v>235</v>
      </c>
      <c r="D119" s="368"/>
    </row>
    <row r="120" spans="1:7" x14ac:dyDescent="0.25">
      <c r="A120" s="368" t="s">
        <v>663</v>
      </c>
      <c r="B120" s="360">
        <v>235</v>
      </c>
      <c r="D120" s="368"/>
    </row>
    <row r="121" spans="1:7" x14ac:dyDescent="0.25">
      <c r="A121" s="367"/>
      <c r="B121" s="362">
        <f>SUM(B114:B120)</f>
        <v>1135</v>
      </c>
      <c r="C121" s="362">
        <f>SUM(C114:C120)</f>
        <v>1590</v>
      </c>
      <c r="D121" s="362">
        <f>C121+B121</f>
        <v>2725</v>
      </c>
    </row>
    <row r="122" spans="1:7" x14ac:dyDescent="0.25">
      <c r="B122" s="362" t="s">
        <v>621</v>
      </c>
      <c r="C122" s="362" t="s">
        <v>622</v>
      </c>
      <c r="D122" s="362" t="s">
        <v>6</v>
      </c>
    </row>
    <row r="128" spans="1:7" x14ac:dyDescent="0.25">
      <c r="A128" s="359" t="s">
        <v>664</v>
      </c>
      <c r="B128" s="360">
        <v>25.6</v>
      </c>
      <c r="G128" s="364"/>
    </row>
    <row r="129" spans="1:7" x14ac:dyDescent="0.25">
      <c r="A129" s="359"/>
      <c r="G129" s="364"/>
    </row>
    <row r="130" spans="1:7" x14ac:dyDescent="0.25">
      <c r="B130" s="360" t="s">
        <v>665</v>
      </c>
    </row>
    <row r="131" spans="1:7" x14ac:dyDescent="0.25">
      <c r="A131" s="360" t="s">
        <v>666</v>
      </c>
      <c r="B131" s="360" t="s">
        <v>558</v>
      </c>
    </row>
    <row r="132" spans="1:7" x14ac:dyDescent="0.25">
      <c r="A132" s="370" t="s">
        <v>667</v>
      </c>
      <c r="B132" s="360">
        <v>90</v>
      </c>
    </row>
    <row r="133" spans="1:7" x14ac:dyDescent="0.25">
      <c r="A133" s="370" t="s">
        <v>668</v>
      </c>
      <c r="B133" s="360">
        <v>67</v>
      </c>
    </row>
    <row r="134" spans="1:7" x14ac:dyDescent="0.25">
      <c r="A134" s="370" t="s">
        <v>669</v>
      </c>
      <c r="B134" s="360">
        <v>68</v>
      </c>
    </row>
    <row r="136" spans="1:7" x14ac:dyDescent="0.25">
      <c r="A136" s="360" t="s">
        <v>670</v>
      </c>
      <c r="B136" s="360" t="s">
        <v>622</v>
      </c>
    </row>
    <row r="137" spans="1:7" x14ac:dyDescent="0.25">
      <c r="A137" s="370" t="s">
        <v>671</v>
      </c>
      <c r="B137" s="360">
        <v>635</v>
      </c>
    </row>
    <row r="138" spans="1:7" x14ac:dyDescent="0.25">
      <c r="A138" s="370" t="s">
        <v>672</v>
      </c>
      <c r="B138" s="360">
        <v>125</v>
      </c>
    </row>
    <row r="150" spans="1:3" x14ac:dyDescent="0.25">
      <c r="A150" s="359" t="s">
        <v>673</v>
      </c>
      <c r="B150" s="360">
        <v>87</v>
      </c>
      <c r="C150" s="360" t="s">
        <v>66</v>
      </c>
    </row>
    <row r="152" spans="1:3" x14ac:dyDescent="0.25">
      <c r="A152" s="371" t="s">
        <v>674</v>
      </c>
    </row>
  </sheetData>
  <pageMargins left="0.70000000000000007" right="0.70000000000000007" top="1.1811023622047245" bottom="1.1811023622047245" header="0.78740157480314954" footer="0.78740157480314954"/>
  <pageSetup paperSize="0" fitToWidth="0" fitToHeight="0" orientation="portrait" horizontalDpi="0" verticalDpi="0" copies="0"/>
  <headerFooter alignWithMargins="0"/>
</worksheet>
</file>

<file path=docProps/app.xml><?xml version="1.0" encoding="utf-8"?>
<Properties xmlns="http://schemas.openxmlformats.org/officeDocument/2006/extended-properties" xmlns:vt="http://schemas.openxmlformats.org/officeDocument/2006/docPropsVTypes">
  <TotalTime>837</TotalTime>
  <Application>Microsoft Excel</Application>
  <DocSecurity>0</DocSecurity>
  <ScaleCrop>false</ScaleCrop>
  <HeadingPairs>
    <vt:vector size="2" baseType="variant">
      <vt:variant>
        <vt:lpstr>Listy</vt:lpstr>
      </vt:variant>
      <vt:variant>
        <vt:i4>3</vt:i4>
      </vt:variant>
    </vt:vector>
  </HeadingPairs>
  <TitlesOfParts>
    <vt:vector size="3" baseType="lpstr">
      <vt:lpstr> MN realizační rozpočet</vt:lpstr>
      <vt:lpstr>Substráty</vt:lpstr>
      <vt:lpstr>RM VV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Hanka Pollertová</dc:creator>
  <cp:lastModifiedBy>Hanka Pollertová</cp:lastModifiedBy>
  <cp:revision>3</cp:revision>
  <cp:lastPrinted>2021-07-23T06:28:33Z</cp:lastPrinted>
  <dcterms:created xsi:type="dcterms:W3CDTF">2021-07-23T05:31:37Z</dcterms:created>
  <dcterms:modified xsi:type="dcterms:W3CDTF">2021-07-26T05:55:14Z</dcterms:modified>
</cp:coreProperties>
</file>